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1.bin" ContentType="application/vnd.openxmlformats-officedocument.oleObject"/>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perez.INAVI\Desktop\INF DE ESTADOS FINANCIEROS DIC 2021\DESECREGADO\"/>
    </mc:Choice>
  </mc:AlternateContent>
  <bookViews>
    <workbookView xWindow="0" yWindow="0" windowWidth="19200" windowHeight="11595" tabRatio="961"/>
  </bookViews>
  <sheets>
    <sheet name="Efectivo 07" sheetId="1" r:id="rId1"/>
    <sheet name="Cuentas x Cobrar Corto Plazo 8 " sheetId="10" r:id="rId2"/>
    <sheet name="Inventario 09" sheetId="46" r:id="rId3"/>
    <sheet name="Gastos Anticipados 10" sheetId="5" r:id="rId4"/>
    <sheet name="Otros Activos Corriente 11" sheetId="8" r:id="rId5"/>
    <sheet name="Documentos x Cobrar Largo P. 12" sheetId="4" r:id="rId6"/>
    <sheet name="Inversiones a Largo Plazo 13" sheetId="6" r:id="rId7"/>
    <sheet name="Propiedad Planta y Equipo 14" sheetId="7" r:id="rId8"/>
    <sheet name="Otros Activo no Corrientes 15" sheetId="23" r:id="rId9"/>
    <sheet name="Cuenta por Pagar CP 16" sheetId="3" r:id="rId10"/>
    <sheet name="Retenciones y Acum. pagar 17 " sheetId="2" r:id="rId11"/>
    <sheet name="Otros Pasivos Corrientes 18" sheetId="47" r:id="rId12"/>
    <sheet name="Prestamo por Pagar 19" sheetId="49" r:id="rId13"/>
    <sheet name="Otros Pasivos no Corrientes 20" sheetId="16" r:id="rId14"/>
    <sheet name="Patrimonio 21" sheetId="13" r:id="rId15"/>
    <sheet name="Ingresos x trans. contrapres.22" sheetId="27" r:id="rId16"/>
    <sheet name="Transfcia y donaciones 23" sheetId="12" r:id="rId17"/>
    <sheet name="Otros Ingresos 24" sheetId="28" r:id="rId18"/>
    <sheet name="Sueldos y beneficios Emplea 25 " sheetId="29" r:id="rId19"/>
    <sheet name="Subvenc. y otros p, transfe 26" sheetId="48" r:id="rId20"/>
    <sheet name="Suministro y Materiales 27" sheetId="31" r:id="rId21"/>
    <sheet name="Gastos deprec. y Amortizacio 28" sheetId="35" r:id="rId22"/>
    <sheet name="Otros Gastos 29" sheetId="30" r:id="rId23"/>
    <sheet name="Hoja1" sheetId="38" r:id="rId24"/>
  </sheets>
  <definedNames>
    <definedName name="_xlnm.Print_Area" localSheetId="0">'Efectivo 07'!$A$1:$E$32</definedName>
    <definedName name="_xlnm.Print_Area" localSheetId="14">'Patrimonio 21'!$A$1:$D$31</definedName>
  </definedNames>
  <calcPr calcId="152511"/>
</workbook>
</file>

<file path=xl/calcChain.xml><?xml version="1.0" encoding="utf-8"?>
<calcChain xmlns="http://schemas.openxmlformats.org/spreadsheetml/2006/main">
  <c r="B30" i="13" l="1"/>
  <c r="B23" i="13"/>
  <c r="B21" i="13"/>
  <c r="C39" i="35" l="1"/>
  <c r="D39" i="35"/>
  <c r="D30" i="13" l="1"/>
  <c r="E23" i="29" l="1"/>
  <c r="E31" i="29"/>
  <c r="E30" i="29"/>
  <c r="C35" i="29"/>
  <c r="C30" i="29"/>
  <c r="E35" i="30"/>
  <c r="E23" i="30"/>
  <c r="C35" i="30"/>
  <c r="C23" i="30"/>
  <c r="C34" i="30"/>
  <c r="E28" i="28"/>
  <c r="G28" i="7"/>
  <c r="I26" i="7"/>
  <c r="E42" i="7"/>
  <c r="D32" i="7"/>
  <c r="E32" i="7"/>
  <c r="F32" i="7" l="1"/>
  <c r="F51" i="7" l="1"/>
  <c r="E51" i="7"/>
  <c r="D51" i="7"/>
  <c r="C46" i="7"/>
  <c r="D46" i="7"/>
  <c r="E46" i="7"/>
  <c r="E52" i="7" s="1"/>
  <c r="F46" i="7"/>
  <c r="G46" i="7"/>
  <c r="G51" i="7"/>
  <c r="C51" i="7"/>
  <c r="G32" i="7"/>
  <c r="C32" i="7"/>
  <c r="C28" i="7"/>
  <c r="I27" i="7"/>
  <c r="H51" i="7" l="1"/>
  <c r="F52" i="7"/>
  <c r="C33" i="7"/>
  <c r="G52" i="7"/>
  <c r="C52" i="7"/>
  <c r="D52" i="7"/>
  <c r="I30" i="7"/>
  <c r="I31" i="7"/>
  <c r="D30" i="4" l="1"/>
  <c r="G31" i="16" l="1"/>
  <c r="G33" i="7"/>
  <c r="H50" i="7"/>
  <c r="H48" i="7"/>
  <c r="H45" i="7"/>
  <c r="H44" i="7"/>
  <c r="H43" i="7"/>
  <c r="B42" i="7"/>
  <c r="B46" i="7" s="1"/>
  <c r="B52" i="7" s="1"/>
  <c r="C21" i="35"/>
  <c r="C23" i="35" s="1"/>
  <c r="D24" i="48"/>
  <c r="C40" i="29"/>
  <c r="B26" i="46"/>
  <c r="C15" i="1"/>
  <c r="C30" i="1"/>
  <c r="H42" i="7" l="1"/>
  <c r="H46" i="7" s="1"/>
  <c r="H52" i="7" s="1"/>
  <c r="C25" i="12"/>
  <c r="C30" i="16"/>
  <c r="C33" i="2"/>
  <c r="E33" i="2"/>
  <c r="D24" i="8" l="1"/>
  <c r="D24" i="6"/>
  <c r="C37" i="5" l="1"/>
  <c r="E37" i="5"/>
  <c r="C31" i="5"/>
  <c r="C21" i="5" s="1"/>
  <c r="E30" i="5"/>
  <c r="E31" i="5" s="1"/>
  <c r="E24" i="5"/>
  <c r="C24" i="5" l="1"/>
  <c r="C25" i="5"/>
  <c r="B26" i="10"/>
  <c r="E30" i="16"/>
  <c r="D21" i="35" l="1"/>
  <c r="D26" i="46"/>
  <c r="D28" i="10"/>
  <c r="D26" i="10"/>
  <c r="E30" i="1"/>
  <c r="E15" i="1"/>
  <c r="C29" i="31" l="1"/>
  <c r="D27" i="48"/>
  <c r="H28" i="7" l="1"/>
  <c r="H33" i="7" s="1"/>
  <c r="F28" i="7"/>
  <c r="F33" i="7" s="1"/>
  <c r="E28" i="7"/>
  <c r="E33" i="7" s="1"/>
  <c r="D28" i="7"/>
  <c r="D33" i="7" s="1"/>
  <c r="E27" i="48"/>
  <c r="D18" i="13"/>
  <c r="D23" i="13" s="1"/>
  <c r="D27" i="46" l="1"/>
  <c r="D21" i="46"/>
  <c r="D28" i="46" l="1"/>
  <c r="E28" i="1"/>
  <c r="E31" i="1" s="1"/>
  <c r="E29" i="31" l="1"/>
  <c r="C28" i="28"/>
  <c r="B18" i="13"/>
  <c r="B25" i="3"/>
  <c r="D25" i="3"/>
  <c r="B21" i="23"/>
  <c r="B24" i="6"/>
  <c r="B30" i="4"/>
  <c r="B29" i="10"/>
  <c r="E25" i="3" l="1"/>
  <c r="F36" i="29"/>
  <c r="F24" i="16" l="1"/>
  <c r="F25" i="16"/>
  <c r="F26" i="16"/>
  <c r="F27" i="16"/>
  <c r="F28" i="16"/>
  <c r="F29" i="16"/>
  <c r="F23" i="16"/>
  <c r="E24" i="46"/>
  <c r="E25" i="46"/>
  <c r="E23" i="46"/>
  <c r="F23" i="30" l="1"/>
  <c r="F24" i="30"/>
  <c r="F25" i="30"/>
  <c r="F26" i="30"/>
  <c r="F27" i="30"/>
  <c r="F28" i="30"/>
  <c r="F29" i="30"/>
  <c r="F30" i="30"/>
  <c r="F31" i="30"/>
  <c r="F32" i="30"/>
  <c r="I32" i="7"/>
  <c r="E26" i="46"/>
  <c r="E40" i="29"/>
  <c r="F26" i="2"/>
  <c r="F25" i="2"/>
  <c r="F22" i="2"/>
  <c r="F23" i="2"/>
  <c r="F24" i="2"/>
  <c r="F27" i="2"/>
  <c r="F28" i="2"/>
  <c r="F29" i="2"/>
  <c r="F30" i="2"/>
  <c r="F31" i="2"/>
  <c r="F32" i="2"/>
  <c r="F21" i="2"/>
  <c r="E23" i="3"/>
  <c r="E24" i="3"/>
  <c r="E22" i="3"/>
  <c r="B25" i="8"/>
  <c r="C28" i="1"/>
  <c r="C31" i="1" s="1"/>
  <c r="B28" i="49"/>
  <c r="E25" i="12"/>
  <c r="E27" i="27"/>
  <c r="D28" i="49"/>
  <c r="C27" i="27"/>
  <c r="B27" i="47"/>
  <c r="D27" i="47"/>
  <c r="D21" i="23"/>
  <c r="B25" i="7"/>
  <c r="D25" i="8"/>
  <c r="D29" i="10"/>
  <c r="B28" i="7" l="1"/>
  <c r="B33" i="7" s="1"/>
  <c r="I25" i="7"/>
  <c r="I28" i="7" s="1"/>
  <c r="I33" i="7" s="1"/>
  <c r="F35" i="30"/>
  <c r="B27" i="46"/>
  <c r="E27" i="46" s="1"/>
  <c r="B21" i="46"/>
  <c r="E20" i="46"/>
  <c r="F22" i="29"/>
  <c r="B28" i="46" l="1"/>
  <c r="F40" i="29"/>
  <c r="E21" i="46"/>
  <c r="F33" i="2"/>
  <c r="E28" i="46" l="1"/>
</calcChain>
</file>

<file path=xl/comments1.xml><?xml version="1.0" encoding="utf-8"?>
<comments xmlns="http://schemas.openxmlformats.org/spreadsheetml/2006/main">
  <authors>
    <author>Altagracia Bido</author>
  </authors>
  <commentList>
    <comment ref="C27" authorId="0" shapeId="0">
      <text>
        <r>
          <rPr>
            <b/>
            <sz val="9"/>
            <color indexed="81"/>
            <rFont val="Tahoma"/>
            <family val="2"/>
          </rPr>
          <t>Altagracia Bido:</t>
        </r>
        <r>
          <rPr>
            <sz val="9"/>
            <color indexed="81"/>
            <rFont val="Tahoma"/>
            <family val="2"/>
          </rPr>
          <t xml:space="preserve">
Mn¿onto a conciliar</t>
        </r>
      </text>
    </comment>
  </commentList>
</comments>
</file>

<file path=xl/comments2.xml><?xml version="1.0" encoding="utf-8"?>
<comments xmlns="http://schemas.openxmlformats.org/spreadsheetml/2006/main">
  <authors>
    <author>Altagracia Bido</author>
  </authors>
  <commentList>
    <comment ref="B36" authorId="0" shapeId="0">
      <text>
        <r>
          <rPr>
            <b/>
            <sz val="9"/>
            <color indexed="81"/>
            <rFont val="Tahoma"/>
            <family val="2"/>
          </rPr>
          <t xml:space="preserve">Altagracia Bido:
</t>
        </r>
        <r>
          <rPr>
            <sz val="9"/>
            <color indexed="81"/>
            <rFont val="Tahoma"/>
            <family val="2"/>
          </rPr>
          <t>AQUÍ VA AMORTIZACION DEL PERIODO</t>
        </r>
      </text>
    </comment>
  </commentList>
</comments>
</file>

<file path=xl/sharedStrings.xml><?xml version="1.0" encoding="utf-8"?>
<sst xmlns="http://schemas.openxmlformats.org/spreadsheetml/2006/main" count="369" uniqueCount="264">
  <si>
    <t>Cuenta por Cobrar Clientes</t>
  </si>
  <si>
    <t>Total</t>
  </si>
  <si>
    <t>Inventario de Consumo</t>
  </si>
  <si>
    <t xml:space="preserve">   Medicamentos</t>
  </si>
  <si>
    <t>OTROS ACTIVOS CORRIENTES</t>
  </si>
  <si>
    <t>Nota 07</t>
  </si>
  <si>
    <t>Fianzas</t>
  </si>
  <si>
    <t>Viviendas no Asignadas</t>
  </si>
  <si>
    <t>Contratos e Hipotecas por Cobrar</t>
  </si>
  <si>
    <t>Cajas Chicas</t>
  </si>
  <si>
    <r>
      <t>Descripción</t>
    </r>
    <r>
      <rPr>
        <i/>
        <sz val="10"/>
        <rFont val="Bookman Old Style"/>
        <family val="1"/>
      </rPr>
      <t xml:space="preserve">   </t>
    </r>
  </si>
  <si>
    <t>Sub-Total Caja y Banco</t>
  </si>
  <si>
    <t xml:space="preserve">  Caja General</t>
  </si>
  <si>
    <t xml:space="preserve">  Banco de Reservas No. (010-600058-6)</t>
  </si>
  <si>
    <t xml:space="preserve">  Banco de Reservas No. (010-600057-8)</t>
  </si>
  <si>
    <t xml:space="preserve">  Banco de Reservas No. (010-600054-3)</t>
  </si>
  <si>
    <t xml:space="preserve">  Banco de Reservas No. (010-600055-1)</t>
  </si>
  <si>
    <t xml:space="preserve">  Banco de Reservas No. (010-600087-0)</t>
  </si>
  <si>
    <t xml:space="preserve">  Banco de Reservas No. (010-238298-0)</t>
  </si>
  <si>
    <t xml:space="preserve">  Banco de Reservas No. (010-238299-9)</t>
  </si>
  <si>
    <t xml:space="preserve">  Banco de Reservas No. (010-249581-5)</t>
  </si>
  <si>
    <t xml:space="preserve">  Banco de Reservas No. (010-249473-8)</t>
  </si>
  <si>
    <t xml:space="preserve">  Banco de Reservas No. (030-600020-2)</t>
  </si>
  <si>
    <t>Cuenta por Cobrar Instituciones</t>
  </si>
  <si>
    <t>Retenciones ISR</t>
  </si>
  <si>
    <t>Retenciones 10% ISR</t>
  </si>
  <si>
    <t>Otras Retenciones</t>
  </si>
  <si>
    <t>Plan de Retiro</t>
  </si>
  <si>
    <t>Caja Chica Pendiente de Reponer</t>
  </si>
  <si>
    <t>Proveedores</t>
  </si>
  <si>
    <t>Invalidez</t>
  </si>
  <si>
    <t>Seguro de Vida</t>
  </si>
  <si>
    <t>Nota 16</t>
  </si>
  <si>
    <t>INGRESOS CORRIENTES</t>
  </si>
  <si>
    <t>Sub-Total</t>
  </si>
  <si>
    <t>GASTOS CORRIENTES</t>
  </si>
  <si>
    <t>Materiales y Suministros</t>
  </si>
  <si>
    <t>Disponibilidades</t>
  </si>
  <si>
    <t>Nota 15</t>
  </si>
  <si>
    <t>Retenciones 5% ISR</t>
  </si>
  <si>
    <t>ITBIS por Pagar</t>
  </si>
  <si>
    <t>Prestamos Empleados</t>
  </si>
  <si>
    <t>Cobros por Liquidar</t>
  </si>
  <si>
    <t>Cuenta por Cobrar Empresas</t>
  </si>
  <si>
    <t>Retenciones 18%</t>
  </si>
  <si>
    <t>Descuento Indebidos</t>
  </si>
  <si>
    <t>Nota 14</t>
  </si>
  <si>
    <t>Cuentas por Cobrar Financiadas</t>
  </si>
  <si>
    <t xml:space="preserve"> </t>
  </si>
  <si>
    <t>Otras Cuentas por Pagar a Terceros</t>
  </si>
  <si>
    <t>Nota 13</t>
  </si>
  <si>
    <t>Otras Cuentas por Cobrar</t>
  </si>
  <si>
    <t>PATRIMONIO INSTITUCIONAL</t>
  </si>
  <si>
    <t>Nota 19</t>
  </si>
  <si>
    <t>Ventas de Servicios</t>
  </si>
  <si>
    <t>Intereses y Rentas a la Propiedad</t>
  </si>
  <si>
    <t>Nota 20</t>
  </si>
  <si>
    <t>Servicios de Salud</t>
  </si>
  <si>
    <t>Descuentos y Devoluciones</t>
  </si>
  <si>
    <t>Contribuciones a la Seguridad Social</t>
  </si>
  <si>
    <t>Transporte y Almacenajes</t>
  </si>
  <si>
    <t>Alquileres y Rentas</t>
  </si>
  <si>
    <t>Seguros</t>
  </si>
  <si>
    <t>Conserv. Rep. Menores y Construcciones Temporales</t>
  </si>
  <si>
    <t>Otros Servicios no Personales</t>
  </si>
  <si>
    <t>Textiles y Vestuarios</t>
  </si>
  <si>
    <t>Nota 24</t>
  </si>
  <si>
    <t>Nota 23</t>
  </si>
  <si>
    <t>Nota 22</t>
  </si>
  <si>
    <t>Nota 18</t>
  </si>
  <si>
    <t>Ayudas y Donaciones a Personas</t>
  </si>
  <si>
    <t>Valores en RD$</t>
  </si>
  <si>
    <t>Nota 27</t>
  </si>
  <si>
    <t>Nota 10</t>
  </si>
  <si>
    <t>INVENTARIOS</t>
  </si>
  <si>
    <t>ITBIS Pagados por Adelantado</t>
  </si>
  <si>
    <t>Compras Pendientes por Liquidar</t>
  </si>
  <si>
    <t>Otros Cargos por Liquidar</t>
  </si>
  <si>
    <t>Pagos en Exceso Viviendas Canceladas</t>
  </si>
  <si>
    <t>Capital Estado Dominicano</t>
  </si>
  <si>
    <t>Nota 12</t>
  </si>
  <si>
    <t xml:space="preserve">OTROS INGRESOS </t>
  </si>
  <si>
    <t xml:space="preserve">SERVICIOS PERSONALES </t>
  </si>
  <si>
    <t xml:space="preserve">MATERIALES Y SUMINISTROS </t>
  </si>
  <si>
    <t xml:space="preserve">AYUDAS Y DONACIONES CORRIENTES </t>
  </si>
  <si>
    <t xml:space="preserve">SERVICIOS NO PERSONALES </t>
  </si>
  <si>
    <t>TRANSFERENCIAS CORRIENTES RECIBIDA</t>
  </si>
  <si>
    <t>Ingresos Extraordinarios</t>
  </si>
  <si>
    <r>
      <t>·</t>
    </r>
    <r>
      <rPr>
        <sz val="7"/>
        <rFont val="Times New Roman"/>
        <family val="1"/>
      </rPr>
      <t xml:space="preserve">         </t>
    </r>
    <r>
      <rPr>
        <b/>
        <sz val="12"/>
        <rFont val="Bookman Old Style"/>
        <family val="1"/>
      </rPr>
      <t>Contrato  e Hipoteca por cobrar:</t>
    </r>
  </si>
  <si>
    <t>OTROS PASIVOS NO CORRIENTES</t>
  </si>
  <si>
    <t xml:space="preserve">Costos de Ventas de Servicios Funerarios </t>
  </si>
  <si>
    <t>Costos de Ventas de Punto de Ventas</t>
  </si>
  <si>
    <r>
      <t>·</t>
    </r>
    <r>
      <rPr>
        <sz val="7"/>
        <rFont val="Times New Roman"/>
        <family val="1"/>
      </rPr>
      <t xml:space="preserve">         </t>
    </r>
    <r>
      <rPr>
        <b/>
        <sz val="12"/>
        <rFont val="Bookman Old Style"/>
        <family val="1"/>
      </rPr>
      <t>Viviendas  no Asignadas</t>
    </r>
    <r>
      <rPr>
        <sz val="12"/>
        <rFont val="Bookman Old Style"/>
        <family val="1"/>
      </rPr>
      <t>:</t>
    </r>
  </si>
  <si>
    <t>Sub Total</t>
  </si>
  <si>
    <t>Total Patrimonio Institucional</t>
  </si>
  <si>
    <t>Efectivo y Equivalentes de Efectivo</t>
  </si>
  <si>
    <t>Nota 8</t>
  </si>
  <si>
    <t>CUENTAS POR COBRAR A CORTO PLAZO</t>
  </si>
  <si>
    <t>Nota 09</t>
  </si>
  <si>
    <t>INVERSIONES A LARGO PLAZO</t>
  </si>
  <si>
    <t>PROPIEDAD PLANTA Y EQUIPO</t>
  </si>
  <si>
    <t>Terreno</t>
  </si>
  <si>
    <t>Edif. Y Componentes</t>
  </si>
  <si>
    <t>Maq. Y Equipos</t>
  </si>
  <si>
    <t>Adiciones</t>
  </si>
  <si>
    <t>Retiros</t>
  </si>
  <si>
    <t>Otros</t>
  </si>
  <si>
    <t>Saldo al final del periodo</t>
  </si>
  <si>
    <t>Cargo del periodo</t>
  </si>
  <si>
    <t>CUENTAS POR PAGAR A CORTO PLAZO</t>
  </si>
  <si>
    <t>RETENCIONES Y ACUMULACIONES POR PAGAR</t>
  </si>
  <si>
    <t>OTROS ACTIVOS NO FINANCIERO</t>
  </si>
  <si>
    <t>INGRESOS POR TRANSACCIONES CON CONTRAPRESTACIONES</t>
  </si>
  <si>
    <t>SUMUNISTRO Y MATERIALES PARA CONSUMO</t>
  </si>
  <si>
    <t>GASTOS DE DEPRECIACION Y AMORTIZACION</t>
  </si>
  <si>
    <t xml:space="preserve">DEPRECIACIONES Y AMORTIZACIONES </t>
  </si>
  <si>
    <t>TRANSFERENCIAS Y DONACIONES</t>
  </si>
  <si>
    <t>Nota 28</t>
  </si>
  <si>
    <t>SUBVENCIONES Y OTROS PAGOS POR TRANSFERENCIAS</t>
  </si>
  <si>
    <t>Nota 17</t>
  </si>
  <si>
    <t>Nota 21</t>
  </si>
  <si>
    <t>Nota 26</t>
  </si>
  <si>
    <t>Nota 29</t>
  </si>
  <si>
    <t>Dep. Acum. Al Inicio del periodo</t>
  </si>
  <si>
    <t>Nota 25</t>
  </si>
  <si>
    <t>Transferencias Corrientes a Instituciones sin fines de Lucro</t>
  </si>
  <si>
    <t>Saldo a Favor de ISR de Empleados IR-13</t>
  </si>
  <si>
    <t>Alimentos y Productos Agroforestales</t>
  </si>
  <si>
    <t>Resultado Positivos(ahorro)/negativo(desahorro)Resultado acumulado</t>
  </si>
  <si>
    <t>OTROS PASIVOS CORRIENTES</t>
  </si>
  <si>
    <t>OTROS GASTOS</t>
  </si>
  <si>
    <t>Cuentas por Cobrar Empleados</t>
  </si>
  <si>
    <t>Nota 11</t>
  </si>
  <si>
    <t>Capital</t>
  </si>
  <si>
    <t>Resultado del Periodo</t>
  </si>
  <si>
    <t xml:space="preserve">Totales </t>
  </si>
  <si>
    <t xml:space="preserve">      PRESTAMO POR PAGAR A LARGO PLAZO</t>
  </si>
  <si>
    <t>Otros Ingresos</t>
  </si>
  <si>
    <t>Saldos al inicio del año</t>
  </si>
  <si>
    <t xml:space="preserve">DEL GOBIERNO CENTRAL </t>
  </si>
  <si>
    <t xml:space="preserve">  Cuenta Única Tesorería Nacional</t>
  </si>
  <si>
    <t xml:space="preserve">   Suministro de Almacén</t>
  </si>
  <si>
    <t>Inventario de Mercancía</t>
  </si>
  <si>
    <t xml:space="preserve">   Materiales Odontológicos</t>
  </si>
  <si>
    <t xml:space="preserve">   Mercancías de Punto de Venta</t>
  </si>
  <si>
    <t xml:space="preserve">   Ataúdes</t>
  </si>
  <si>
    <r>
      <t xml:space="preserve">Esta partida de Viviendas no Asignadas, esta presentada en los Estados Financieros por un monto acumulado de </t>
    </r>
    <r>
      <rPr>
        <b/>
        <sz val="12"/>
        <rFont val="Bookman Old Style"/>
        <family val="1"/>
      </rPr>
      <t>RD$33,915,043.23,</t>
    </r>
    <r>
      <rPr>
        <sz val="12"/>
        <rFont val="Bookman Old Style"/>
        <family val="1"/>
      </rPr>
      <t xml:space="preserve"> el cual es producto de la construcción de casas y apartamentos, que son asignadas a los beneficiarios, de acuerdo a instrucciones recibidas de autoridades  superiores, sin que previamente dicho beneficiario tenga firmado algún contrato con  la institución. Debemos señalar que dicho monto fue encontrado por esta administración en los libros sin ningún anexo.</t>
    </r>
  </si>
  <si>
    <t>Construcciones en Proceso</t>
  </si>
  <si>
    <t>Costo de adquisición</t>
  </si>
  <si>
    <t>Depreciación Mobiliario y Equipos de Oficina</t>
  </si>
  <si>
    <t>Depreciación Equipos de cómputos</t>
  </si>
  <si>
    <t>Depreciación Planta Eléctrica</t>
  </si>
  <si>
    <t>Depreciación Equipos Médicos</t>
  </si>
  <si>
    <t>Depreciación Edific y Componentes</t>
  </si>
  <si>
    <t>Depreciación Equipos de transporte</t>
  </si>
  <si>
    <t>Depreciación Equipos de Comunicación</t>
  </si>
  <si>
    <t>Depreciación Otros Activos</t>
  </si>
  <si>
    <t>Total Gasto de Depreciación</t>
  </si>
  <si>
    <r>
      <t>·</t>
    </r>
    <r>
      <rPr>
        <sz val="7"/>
        <rFont val="Times New Roman"/>
        <family val="1"/>
      </rPr>
      <t>       </t>
    </r>
    <r>
      <rPr>
        <b/>
        <sz val="12"/>
        <rFont val="Bookman Old Style"/>
        <family val="1"/>
      </rPr>
      <t>  Construcción en Proceso:</t>
    </r>
  </si>
  <si>
    <t>Descripción</t>
  </si>
  <si>
    <t>Depósitos en Alquiler</t>
  </si>
  <si>
    <t>Desc. A Servidores Públicos Inavi</t>
  </si>
  <si>
    <t>Depósitos en la Cuenta Única por Transferencia</t>
  </si>
  <si>
    <t>Regalía Pascual</t>
  </si>
  <si>
    <t>Cesantía</t>
  </si>
  <si>
    <t>Revaluación de Activos Fijos</t>
  </si>
  <si>
    <t>Superávit por Donación de Activos</t>
  </si>
  <si>
    <t>Contribución de Empleados</t>
  </si>
  <si>
    <t>Transferencias Corrientes Recibidas del Gobierno Central</t>
  </si>
  <si>
    <t>Compensación por Horas Extraordinarias</t>
  </si>
  <si>
    <t>Compensación por Transporte</t>
  </si>
  <si>
    <t>Productos de Papel, Cartón e Impresos</t>
  </si>
  <si>
    <t>Productos de Minerales Metálicos y No Metálicos</t>
  </si>
  <si>
    <t>Combustibles, Lubricantes Productos Químicos y Conexos</t>
  </si>
  <si>
    <t>Productos Útiles Varios</t>
  </si>
  <si>
    <t>Productos de Cueros, caucho y Plástico</t>
  </si>
  <si>
    <t>Depreciación y Amortización</t>
  </si>
  <si>
    <t>Depreciación</t>
  </si>
  <si>
    <t>Servicios Básico</t>
  </si>
  <si>
    <t>Publicidad Impresión y Encuadernación</t>
  </si>
  <si>
    <t>Viáticos</t>
  </si>
  <si>
    <t>Resultado Acumulado antes del Ajuste</t>
  </si>
  <si>
    <t>Resultado del Periodo Acumulado</t>
  </si>
  <si>
    <t>DOCUMENTOS POR COBRAR A LARGO PLAZO</t>
  </si>
  <si>
    <t>Nomina por Pagar</t>
  </si>
  <si>
    <t>Seguro Familiar de Salud(SFS)</t>
  </si>
  <si>
    <t>Seguro de Pensiones</t>
  </si>
  <si>
    <t>Reclamaciones por Pagar Seguro Funerario</t>
  </si>
  <si>
    <t>Mob. Y equipo de Oficina</t>
  </si>
  <si>
    <t>Equipo, Trasp. y Otros</t>
  </si>
  <si>
    <t>Otros Gastos</t>
  </si>
  <si>
    <r>
      <t xml:space="preserve">Esta partida, esta presentada en los Estados Financieros por un monto de </t>
    </r>
    <r>
      <rPr>
        <b/>
        <sz val="12"/>
        <rFont val="Bookman Old Style"/>
        <family val="1"/>
      </rPr>
      <t>RD$172,315,872.60,</t>
    </r>
    <r>
      <rPr>
        <sz val="12"/>
        <rFont val="Bookman Old Style"/>
        <family val="1"/>
      </rPr>
      <t xml:space="preserve"> del cual el 98% son construcciones que la institución realizo en todo el territorio nacional y están aun inconclusas por razones exógenas, las cuales, hasta que el consejo de la administración no lo decida, no podemos dar de baja en los libros de contabilidad de la institución.</t>
    </r>
  </si>
  <si>
    <t>Aportes Seguro Familiar de Salud</t>
  </si>
  <si>
    <t>Aportes Seguro de Pensiones</t>
  </si>
  <si>
    <t>Aportes Seguro de Riesgo Laboral</t>
  </si>
  <si>
    <t>Punto de Venta</t>
  </si>
  <si>
    <t>Mal. Y Equipos</t>
  </si>
  <si>
    <t>Fondo de Pensión Retenido por Pagar</t>
  </si>
  <si>
    <t>Transferencias y Donaciones Corriente</t>
  </si>
  <si>
    <t>Transferencias de Seguro de Vida, Invalidez y Cesantía</t>
  </si>
  <si>
    <r>
      <t>Descripción</t>
    </r>
    <r>
      <rPr>
        <i/>
        <sz val="11"/>
        <rFont val="Bookman Old Style"/>
        <family val="1"/>
      </rPr>
      <t xml:space="preserve">   </t>
    </r>
  </si>
  <si>
    <t>AL 31 de Diciembre, 2021</t>
  </si>
  <si>
    <t>Bienes Intangibles (Licencias, Software)</t>
  </si>
  <si>
    <t>Pagos Anticipados (Seguros de Vehículo)</t>
  </si>
  <si>
    <t>Total Pagos Ancipados Netos:</t>
  </si>
  <si>
    <t>Movimiento como sigue:</t>
  </si>
  <si>
    <t>Adiciones del año</t>
  </si>
  <si>
    <t>Movimiento de la Amortización es como sigue:</t>
  </si>
  <si>
    <t>Certificados de Inversion Banco de Desarrollo Agropecuario</t>
  </si>
  <si>
    <t>Inversion en Acciones "AGRODOSA"</t>
  </si>
  <si>
    <t>Inversion en Acciones "ADDE CAPITAL"</t>
  </si>
  <si>
    <t>Cheques  sujetos a Liquidación</t>
  </si>
  <si>
    <t>Prestamos por pagar Banreservas</t>
  </si>
  <si>
    <t>Incentivo Por Rendimiento Individual</t>
  </si>
  <si>
    <t>Equipo Educacional y Recreativo</t>
  </si>
  <si>
    <r>
      <t xml:space="preserve">Seguro de Vehículos: Esta cuenta presenta una disminucion de </t>
    </r>
    <r>
      <rPr>
        <b/>
        <i/>
        <sz val="12"/>
        <rFont val="Bookman Old Style"/>
        <family val="1"/>
      </rPr>
      <t xml:space="preserve">RD$70,512.47, </t>
    </r>
    <r>
      <rPr>
        <i/>
        <sz val="12"/>
        <rFont val="Bookman Old Style"/>
        <family val="1"/>
      </rPr>
      <t xml:space="preserve">producto de la adquisición de la póliza de seguros de vehículos de la institución., El balance actual es de </t>
    </r>
    <r>
      <rPr>
        <b/>
        <i/>
        <sz val="12"/>
        <rFont val="Bookman Old Style"/>
        <family val="1"/>
      </rPr>
      <t>RD$196,272.78</t>
    </r>
    <r>
      <rPr>
        <i/>
        <sz val="12"/>
        <rFont val="Bookman Old Style"/>
        <family val="1"/>
      </rPr>
      <t xml:space="preserve"> al 31 de Diciembre del 2021.-</t>
    </r>
  </si>
  <si>
    <r>
      <rPr>
        <b/>
        <sz val="12"/>
        <rFont val="Bookman Old Style"/>
        <family val="1"/>
      </rPr>
      <t>Propiedad Planta y Equipo Neto</t>
    </r>
    <r>
      <rPr>
        <sz val="12"/>
        <rFont val="Bookman Old Style"/>
        <family val="1"/>
      </rPr>
      <t xml:space="preserve">: Al 31 Diciembre del período fiscal 2021 y 2020, estas cuentas presentan los siguientes balances de </t>
    </r>
    <r>
      <rPr>
        <b/>
        <sz val="12"/>
        <rFont val="Bookman Old Style"/>
        <family val="1"/>
      </rPr>
      <t>RD$435,824,571.71 y RD$450,444,509.41,</t>
    </r>
    <r>
      <rPr>
        <sz val="12"/>
        <rFont val="Bookman Old Style"/>
        <family val="1"/>
      </rPr>
      <t xml:space="preserve"> respectivamente. debido a que se realizaron adiciones de activos por valor de </t>
    </r>
    <r>
      <rPr>
        <b/>
        <sz val="12"/>
        <rFont val="Bookman Old Style"/>
        <family val="1"/>
      </rPr>
      <t>RD$6,543,240.95</t>
    </r>
    <r>
      <rPr>
        <sz val="12"/>
        <rFont val="Bookman Old Style"/>
        <family val="1"/>
      </rPr>
      <t xml:space="preserve"> y una disminución por retiros de activos por valor de </t>
    </r>
    <r>
      <rPr>
        <b/>
        <sz val="12"/>
        <rFont val="Bookman Old Style"/>
        <family val="1"/>
      </rPr>
      <t>RD$3,190.00,</t>
    </r>
    <r>
      <rPr>
        <sz val="12"/>
        <rFont val="Bookman Old Style"/>
        <family val="1"/>
      </rPr>
      <t xml:space="preserve"> por varios descargos realizados por la institución a la Dirección de Bienes Nacionales, la variación total entre los dos años fue de</t>
    </r>
    <r>
      <rPr>
        <b/>
        <sz val="12"/>
        <rFont val="Bookman Old Style"/>
        <family val="1"/>
      </rPr>
      <t xml:space="preserve"> RD$2,965,827.81</t>
    </r>
    <r>
      <rPr>
        <sz val="12"/>
        <rFont val="Bookman Old Style"/>
        <family val="1"/>
      </rPr>
      <t>.-</t>
    </r>
  </si>
  <si>
    <r>
      <t xml:space="preserve">Esta partida Contrato &amp; Hipoteca por Cobrar, esta presentada en los Estados Financieros, por un monto de </t>
    </r>
    <r>
      <rPr>
        <b/>
        <sz val="12"/>
        <rFont val="Bookman Old Style"/>
        <family val="1"/>
      </rPr>
      <t>RD$75,975,225.62</t>
    </r>
    <r>
      <rPr>
        <sz val="12"/>
        <rFont val="Bookman Old Style"/>
        <family val="1"/>
      </rPr>
      <t xml:space="preserve">, que se origina cuando el beneficiario de la casa o apartamento formaliza su estatus con la institución, a través de un contrato a largo plazo, esta cuenta presenta una disminución de </t>
    </r>
    <r>
      <rPr>
        <b/>
        <sz val="12"/>
        <rFont val="Bookman Old Style"/>
        <family val="1"/>
      </rPr>
      <t>RD$2,375,140.22</t>
    </r>
    <r>
      <rPr>
        <sz val="12"/>
        <rFont val="Bookman Old Style"/>
        <family val="1"/>
      </rPr>
      <t>.</t>
    </r>
  </si>
  <si>
    <r>
      <t xml:space="preserve">Al 31 Diciembre del  período fiscal 2021, esta cuenta presenta un balance de </t>
    </r>
    <r>
      <rPr>
        <b/>
        <sz val="12"/>
        <rFont val="Bookman Old Style"/>
        <family val="1"/>
      </rPr>
      <t>RD$223,824.36</t>
    </r>
    <r>
      <rPr>
        <sz val="12"/>
        <rFont val="Bookman Old Style"/>
        <family val="1"/>
      </rPr>
      <t>, este balance esta pendiente de reclasificar. Se origina debido a pagos realizados a la institución mediante transferencias que van directamente a la cuenta única y luego son transferidos por la tesorería nacional a nuestra cuenta de invalidez.</t>
    </r>
  </si>
  <si>
    <r>
      <rPr>
        <b/>
        <sz val="12"/>
        <rFont val="Bookman Old Style"/>
        <family val="1"/>
      </rPr>
      <t xml:space="preserve">Ingresos Corrientes: </t>
    </r>
    <r>
      <rPr>
        <sz val="12"/>
        <rFont val="Bookman Old Style"/>
        <family val="1"/>
      </rPr>
      <t xml:space="preserve">Al 31 Diciembre del periodo fiscal 2021 y 2020, esta  cuenta presenta los siguientes balance, </t>
    </r>
    <r>
      <rPr>
        <b/>
        <sz val="12"/>
        <rFont val="Bookman Old Style"/>
        <family val="1"/>
      </rPr>
      <t>RD$219,419,244.71 y RD$205,399,819.83,</t>
    </r>
    <r>
      <rPr>
        <sz val="12"/>
        <rFont val="Bookman Old Style"/>
        <family val="1"/>
      </rPr>
      <t xml:space="preserve"> respectivamente, reflejando un incremento de </t>
    </r>
    <r>
      <rPr>
        <b/>
        <sz val="12"/>
        <rFont val="Bookman Old Style"/>
        <family val="1"/>
      </rPr>
      <t>RD$5,665,120.13</t>
    </r>
    <r>
      <rPr>
        <sz val="12"/>
        <rFont val="Bookman Old Style"/>
        <family val="1"/>
      </rPr>
      <t xml:space="preserve"> en el renglón de Contribución de Empleados y así como en la venta de servicios de </t>
    </r>
    <r>
      <rPr>
        <b/>
        <sz val="12"/>
        <rFont val="Bookman Old Style"/>
        <family val="1"/>
      </rPr>
      <t>RD$8,432,506.73,</t>
    </r>
    <r>
      <rPr>
        <sz val="12"/>
        <rFont val="Bookman Old Style"/>
        <family val="1"/>
      </rPr>
      <t xml:space="preserve"> una disminución</t>
    </r>
    <r>
      <rPr>
        <b/>
        <sz val="12"/>
        <rFont val="Bookman Old Style"/>
        <family val="1"/>
      </rPr>
      <t xml:space="preserve"> </t>
    </r>
    <r>
      <rPr>
        <sz val="12"/>
        <rFont val="Bookman Old Style"/>
        <family val="1"/>
      </rPr>
      <t>en el renglón de Intereses y Rentas a la Propiedad</t>
    </r>
    <r>
      <rPr>
        <b/>
        <sz val="12"/>
        <rFont val="Bookman Old Style"/>
        <family val="1"/>
      </rPr>
      <t xml:space="preserve"> </t>
    </r>
    <r>
      <rPr>
        <sz val="12"/>
        <rFont val="Bookman Old Style"/>
        <family val="1"/>
      </rPr>
      <t>por un monto de</t>
    </r>
    <r>
      <rPr>
        <b/>
        <sz val="12"/>
        <rFont val="Bookman Old Style"/>
        <family val="1"/>
      </rPr>
      <t xml:space="preserve"> RD$78,201.98, </t>
    </r>
    <r>
      <rPr>
        <sz val="12"/>
        <rFont val="Bookman Old Style"/>
        <family val="1"/>
      </rPr>
      <t xml:space="preserve">en comparación con el año anterior se puede observar una disminución total de </t>
    </r>
    <r>
      <rPr>
        <b/>
        <sz val="12"/>
        <rFont val="Bookman Old Style"/>
        <family val="1"/>
      </rPr>
      <t>RD$14,019,424.88</t>
    </r>
    <r>
      <rPr>
        <sz val="12"/>
        <rFont val="Bookman Old Style"/>
        <family val="1"/>
      </rPr>
      <t xml:space="preserve">.- </t>
    </r>
  </si>
  <si>
    <r>
      <rPr>
        <b/>
        <sz val="12"/>
        <rFont val="Bookman Old Style"/>
        <family val="1"/>
      </rPr>
      <t>Transferencias Corrientes</t>
    </r>
    <r>
      <rPr>
        <sz val="12"/>
        <rFont val="Bookman Old Style"/>
        <family val="1"/>
      </rPr>
      <t xml:space="preserve">: Al 31 de Diciembre del periodo fiscal 2021 y 2020, esta cuenta presenta los siguientes balances de </t>
    </r>
    <r>
      <rPr>
        <b/>
        <sz val="12"/>
        <rFont val="Bookman Old Style"/>
        <family val="1"/>
      </rPr>
      <t xml:space="preserve">RD$293,327,622.59 y RD$265,705,371.09, </t>
    </r>
    <r>
      <rPr>
        <sz val="12"/>
        <rFont val="Bookman Old Style"/>
        <family val="1"/>
      </rPr>
      <t xml:space="preserve">respectivamente, reflejando un incremento de </t>
    </r>
    <r>
      <rPr>
        <b/>
        <sz val="12"/>
        <rFont val="Bookman Old Style"/>
        <family val="1"/>
      </rPr>
      <t xml:space="preserve">RD$27,622,251.50.- </t>
    </r>
    <r>
      <rPr>
        <sz val="12"/>
        <rFont val="Bookman Old Style"/>
        <family val="1"/>
      </rPr>
      <t xml:space="preserve">   </t>
    </r>
  </si>
  <si>
    <r>
      <rPr>
        <b/>
        <sz val="12"/>
        <rFont val="Bookman Old Style"/>
        <family val="1"/>
      </rPr>
      <t>Otros Ingresos</t>
    </r>
    <r>
      <rPr>
        <sz val="12"/>
        <rFont val="Bookman Old Style"/>
        <family val="1"/>
      </rPr>
      <t xml:space="preserve"> : Al 31 Diciembre del periodo fiscal 2021 y 2020, estas cuentas presentan los siguientes balance </t>
    </r>
    <r>
      <rPr>
        <b/>
        <sz val="12"/>
        <rFont val="Bookman Old Style"/>
        <family val="1"/>
      </rPr>
      <t>RD$2,250,253.14 Y RD$3,218,784.13</t>
    </r>
    <r>
      <rPr>
        <sz val="12"/>
        <rFont val="Bookman Old Style"/>
        <family val="1"/>
      </rPr>
      <t xml:space="preserve"> respectivamente, reflejando un incremento en los ingresos de los servicios de salud debido al aumento de pacientes debido al covid-19, por un monto de </t>
    </r>
    <r>
      <rPr>
        <b/>
        <sz val="12"/>
        <rFont val="Bookman Old Style"/>
        <family val="1"/>
      </rPr>
      <t>RD$1,478,387.00,</t>
    </r>
    <r>
      <rPr>
        <sz val="12"/>
        <rFont val="Bookman Old Style"/>
        <family val="1"/>
      </rPr>
      <t xml:space="preserve"> asi como una disminución en la cuenta de Otros Ingresos por valor de</t>
    </r>
    <r>
      <rPr>
        <b/>
        <sz val="12"/>
        <rFont val="Bookman Old Style"/>
        <family val="1"/>
      </rPr>
      <t xml:space="preserve"> RD$1,964,019.14</t>
    </r>
    <r>
      <rPr>
        <sz val="12"/>
        <rFont val="Bookman Old Style"/>
        <family val="1"/>
      </rPr>
      <t xml:space="preserve">, la variación total fue de </t>
    </r>
    <r>
      <rPr>
        <b/>
        <sz val="12"/>
        <rFont val="Bookman Old Style"/>
        <family val="1"/>
      </rPr>
      <t>RD$950,176.99</t>
    </r>
    <r>
      <rPr>
        <sz val="12"/>
        <rFont val="Bookman Old Style"/>
        <family val="1"/>
      </rPr>
      <t xml:space="preserve">, en comparación con el año anterior. </t>
    </r>
  </si>
  <si>
    <r>
      <rPr>
        <b/>
        <sz val="12"/>
        <rFont val="Bookman Old Style"/>
        <family val="1"/>
      </rPr>
      <t>Servicios Personales:</t>
    </r>
    <r>
      <rPr>
        <sz val="12"/>
        <rFont val="Bookman Old Style"/>
        <family val="1"/>
      </rPr>
      <t xml:space="preserve">  Al 31 Diciembre del periodo fiscal 2021 y 2020, el INAVI pago sueldos y compensaciones al personal directivo, por un monto de aproximadamente de </t>
    </r>
    <r>
      <rPr>
        <b/>
        <sz val="12"/>
        <rFont val="Bookman Old Style"/>
        <family val="1"/>
      </rPr>
      <t>RD$19,232,397.98</t>
    </r>
    <r>
      <rPr>
        <sz val="12"/>
        <rFont val="Bookman Old Style"/>
        <family val="1"/>
      </rPr>
      <t xml:space="preserve"> y </t>
    </r>
    <r>
      <rPr>
        <b/>
        <sz val="12"/>
        <rFont val="Bookman Old Style"/>
        <family val="1"/>
      </rPr>
      <t>RD$17,181,215.74</t>
    </r>
    <r>
      <rPr>
        <sz val="12"/>
        <rFont val="Bookman Old Style"/>
        <family val="1"/>
      </rPr>
      <t xml:space="preserve"> respectivamente. Al 31 de Diciembre del 2021 y 2020 la institución (INAVI) mantenía en sus nominas 620 y 575 empleados. </t>
    </r>
    <r>
      <rPr>
        <b/>
        <sz val="12"/>
        <rFont val="Bookman Old Style"/>
        <family val="1"/>
      </rPr>
      <t>RD$ 253,714,864.88 y RD$219,362,626.85,</t>
    </r>
    <r>
      <rPr>
        <sz val="12"/>
        <rFont val="Bookman Old Style"/>
        <family val="1"/>
      </rPr>
      <t xml:space="preserve"> respectivamente, reflejando un incremento en la cuenta de Sueldo para Cargos Fijos por valor de </t>
    </r>
    <r>
      <rPr>
        <b/>
        <sz val="12"/>
        <rFont val="Bookman Old Style"/>
        <family val="1"/>
      </rPr>
      <t>RD$19,533,584.21,</t>
    </r>
    <r>
      <rPr>
        <sz val="12"/>
        <rFont val="Bookman Old Style"/>
        <family val="1"/>
      </rPr>
      <t xml:space="preserve"> este incremento se debe a el cambio de administración, esta incremento también se refleja en el renglón de  Regalía Pascual por un monto de </t>
    </r>
    <r>
      <rPr>
        <b/>
        <sz val="12"/>
        <rFont val="Bookman Old Style"/>
        <family val="1"/>
      </rPr>
      <t>RD$2,358,472.64</t>
    </r>
    <r>
      <rPr>
        <sz val="12"/>
        <rFont val="Bookman Old Style"/>
        <family val="1"/>
      </rPr>
      <t xml:space="preserve">, un incremento en la Contribución a la Seguridad Social por un monto de </t>
    </r>
    <r>
      <rPr>
        <b/>
        <sz val="12"/>
        <rFont val="Bookman Old Style"/>
        <family val="1"/>
      </rPr>
      <t xml:space="preserve">RD$3,678,624.32, </t>
    </r>
    <r>
      <rPr>
        <sz val="12"/>
        <rFont val="Bookman Old Style"/>
        <family val="1"/>
      </rPr>
      <t>para este periodo tuvimos la adición del Incentivo por Rendimiento Individual por un monto de</t>
    </r>
    <r>
      <rPr>
        <b/>
        <sz val="12"/>
        <rFont val="Bookman Old Style"/>
        <family val="1"/>
      </rPr>
      <t xml:space="preserve"> RD$9,609,640.00,</t>
    </r>
    <r>
      <rPr>
        <sz val="12"/>
        <rFont val="Bookman Old Style"/>
        <family val="1"/>
      </rPr>
      <t xml:space="preserve"> en comparación con el año anterior. </t>
    </r>
  </si>
  <si>
    <t>Prop. Planta y equipos neto 2021</t>
  </si>
  <si>
    <t>Prop. Planta y equipos neto 2020</t>
  </si>
  <si>
    <t>AL 31 de Diciembre, 2021 y 2020</t>
  </si>
  <si>
    <t xml:space="preserve">AL 31 de Diciembre, 2021 </t>
  </si>
  <si>
    <t>GASTOS PAGADOS POR ANTICIPADO</t>
  </si>
  <si>
    <t>Menos:</t>
  </si>
  <si>
    <t>Total Activos:</t>
  </si>
  <si>
    <t>Amortizacion del Periodo</t>
  </si>
  <si>
    <t xml:space="preserve"> Amortización del Periodo </t>
  </si>
  <si>
    <r>
      <rPr>
        <b/>
        <sz val="12"/>
        <rFont val="Bookman Old Style"/>
        <family val="1"/>
      </rPr>
      <t xml:space="preserve">Las Cuentas y Documentos por Cobrar </t>
    </r>
    <r>
      <rPr>
        <sz val="12"/>
        <rFont val="Bookman Old Style"/>
        <family val="1"/>
      </rPr>
      <t xml:space="preserve">: al 31 Diciembre del periodo fiscal 2021 y 2020, estas cuentas presenta los siguientes balance </t>
    </r>
    <r>
      <rPr>
        <b/>
        <sz val="12"/>
        <rFont val="Bookman Old Style"/>
        <family val="1"/>
      </rPr>
      <t xml:space="preserve">RD$15,158,147.52 y RD$17,777,156.67 </t>
    </r>
    <r>
      <rPr>
        <sz val="12"/>
        <rFont val="Bookman Old Style"/>
        <family val="1"/>
      </rPr>
      <t xml:space="preserve">respectivamente. El monto de las cuentas por cobrar refleja una disminución debido a las variaciones contempladas en algunas partidas, durante el periodo 2021, las mas significativas, corresponden a Prestamos Empleados por un valor de </t>
    </r>
    <r>
      <rPr>
        <b/>
        <sz val="12"/>
        <rFont val="Bookman Old Style"/>
        <family val="1"/>
      </rPr>
      <t xml:space="preserve">RD$1,076,434.31, </t>
    </r>
    <r>
      <rPr>
        <sz val="12"/>
        <rFont val="Bookman Old Style"/>
        <family val="1"/>
      </rPr>
      <t xml:space="preserve">corresponde a los saldos realizados por los Ex-empleados a los prestamos contraidos con el Banco de Reservas, asi como en la cuenta de Otras cuentas por Cobrar debido a una reclasificación de cuentas que por su tiempo pasadaron a cuentas incobrables de </t>
    </r>
    <r>
      <rPr>
        <b/>
        <sz val="12"/>
        <rFont val="Bookman Old Style"/>
        <family val="1"/>
      </rPr>
      <t>RD$1,522,661.71</t>
    </r>
    <r>
      <rPr>
        <sz val="12"/>
        <rFont val="Bookman Old Style"/>
        <family val="1"/>
      </rPr>
      <t xml:space="preserve">, la variación total fue de </t>
    </r>
    <r>
      <rPr>
        <b/>
        <sz val="12"/>
        <rFont val="Bookman Old Style"/>
        <family val="1"/>
      </rPr>
      <t>RD$2,619,009.15.</t>
    </r>
  </si>
  <si>
    <r>
      <rPr>
        <b/>
        <sz val="12"/>
        <rFont val="Bookman Old Style"/>
        <family val="1"/>
      </rPr>
      <t xml:space="preserve">Inventarios : </t>
    </r>
    <r>
      <rPr>
        <sz val="12"/>
        <rFont val="Bookman Old Style"/>
        <family val="1"/>
      </rPr>
      <t xml:space="preserve">El 31 Diciembre del periodo fiscal 2021 y 2020, las cuentas de inventarios, presentan los siguientes balances </t>
    </r>
    <r>
      <rPr>
        <b/>
        <sz val="12"/>
        <rFont val="Bookman Old Style"/>
        <family val="1"/>
      </rPr>
      <t>RD$30,570,553.63 y RD$16,988,990.70</t>
    </r>
    <r>
      <rPr>
        <sz val="12"/>
        <rFont val="Bookman Old Style"/>
        <family val="1"/>
      </rPr>
      <t xml:space="preserve">, respectivamente. Las variación mas significativa, corresponde al inventario de Suministro de Almacén, el cual revela un incremento de </t>
    </r>
    <r>
      <rPr>
        <b/>
        <sz val="12"/>
        <rFont val="Bookman Old Style"/>
        <family val="1"/>
      </rPr>
      <t xml:space="preserve">RD$2,922,364.83, </t>
    </r>
    <r>
      <rPr>
        <sz val="12"/>
        <rFont val="Bookman Old Style"/>
        <family val="1"/>
      </rPr>
      <t xml:space="preserve">debido a un incremento en las compras de materiales para suplir a las diferentes dependencias de la institución, así como en el inventario de Punto de Venta de </t>
    </r>
    <r>
      <rPr>
        <b/>
        <sz val="12"/>
        <rFont val="Bookman Old Style"/>
        <family val="1"/>
      </rPr>
      <t>RD$15,856,383.56</t>
    </r>
    <r>
      <rPr>
        <sz val="12"/>
        <rFont val="Bookman Old Style"/>
        <family val="1"/>
      </rPr>
      <t xml:space="preserve">, así como una disminución en el inventario de medicamentos por valor de </t>
    </r>
    <r>
      <rPr>
        <b/>
        <sz val="12"/>
        <rFont val="Bookman Old Style"/>
        <family val="1"/>
      </rPr>
      <t>$1,406,716.28</t>
    </r>
    <r>
      <rPr>
        <sz val="12"/>
        <rFont val="Bookman Old Style"/>
        <family val="1"/>
      </rPr>
      <t xml:space="preserve"> producto de un incremento de las donaciones de medicamentos a nivel nacional, una disminución en el inventario de Ataúdes por valor de RD$3,483,804.85, para una variación total de </t>
    </r>
    <r>
      <rPr>
        <b/>
        <sz val="12"/>
        <rFont val="Bookman Old Style"/>
        <family val="1"/>
      </rPr>
      <t>RD$13,581,562.93</t>
    </r>
    <r>
      <rPr>
        <sz val="12"/>
        <rFont val="Bookman Old Style"/>
        <family val="1"/>
      </rPr>
      <t>.-</t>
    </r>
  </si>
  <si>
    <r>
      <rPr>
        <b/>
        <sz val="12"/>
        <rFont val="Bookman Old Style"/>
        <family val="1"/>
      </rPr>
      <t>Efectivo en Caja y Bancos</t>
    </r>
    <r>
      <rPr>
        <sz val="12"/>
        <rFont val="Bookman Old Style"/>
        <family val="1"/>
      </rPr>
      <t xml:space="preserve">: Al 31 Diciembre del periodo fiscal 2021 y 2020, el efectivo disponible en las cuentas bancarias, presenta los siguientes balance </t>
    </r>
    <r>
      <rPr>
        <b/>
        <sz val="12"/>
        <rFont val="Bookman Old Style"/>
        <family val="1"/>
      </rPr>
      <t xml:space="preserve">RD$ 73,977,160.71 y RD$98,019,808.46, </t>
    </r>
    <r>
      <rPr>
        <sz val="12"/>
        <rFont val="Bookman Old Style"/>
        <family val="1"/>
      </rPr>
      <t xml:space="preserve">respectivamente. En este periodo se puede observar una disminución significativa en la cuenta corriente invalidez de </t>
    </r>
    <r>
      <rPr>
        <b/>
        <sz val="12"/>
        <rFont val="Bookman Old Style"/>
        <family val="1"/>
      </rPr>
      <t>RD$10,625,837.88,</t>
    </r>
    <r>
      <rPr>
        <sz val="12"/>
        <rFont val="Bookman Old Style"/>
        <family val="1"/>
      </rPr>
      <t xml:space="preserve"> producto de un incremento en las devoluciones a ex-empleados publicos, através de cheques, así como en la cuenta de seguro funerarios por valor de </t>
    </r>
    <r>
      <rPr>
        <b/>
        <sz val="12"/>
        <rFont val="Bookman Old Style"/>
        <family val="1"/>
      </rPr>
      <t>RD$5,085,863.58</t>
    </r>
    <r>
      <rPr>
        <sz val="12"/>
        <rFont val="Bookman Old Style"/>
        <family val="1"/>
      </rPr>
      <t xml:space="preserve">, producto de las pago realizados a los proveedores de ataudes, una disminución en la cuenta Única de </t>
    </r>
    <r>
      <rPr>
        <b/>
        <sz val="12"/>
        <rFont val="Bookman Old Style"/>
        <family val="1"/>
      </rPr>
      <t>RD$8,197,375.96</t>
    </r>
    <r>
      <rPr>
        <sz val="12"/>
        <rFont val="Bookman Old Style"/>
        <family val="1"/>
      </rPr>
      <t xml:space="preserve">, producto del cumplimiento en las obligaciones de los compromisos de los gastos fijos de la Institución. El monto total de las variaciones fue de </t>
    </r>
    <r>
      <rPr>
        <b/>
        <sz val="12"/>
        <rFont val="Bookman Old Style"/>
        <family val="1"/>
      </rPr>
      <t xml:space="preserve">RD$24,042,647.75-. </t>
    </r>
    <r>
      <rPr>
        <sz val="12"/>
        <rFont val="Bookman Old Style"/>
        <family val="1"/>
      </rPr>
      <t xml:space="preserve"> </t>
    </r>
  </si>
  <si>
    <r>
      <rPr>
        <b/>
        <sz val="12"/>
        <rFont val="Bookman Old Style"/>
        <family val="1"/>
      </rPr>
      <t xml:space="preserve">Otros Activos Corrientes </t>
    </r>
    <r>
      <rPr>
        <sz val="12"/>
        <rFont val="Bookman Old Style"/>
        <family val="1"/>
      </rPr>
      <t xml:space="preserve">: Al 31 Diciembre del periodo fiscal 2021 y 2020, la cuenta de otros activos Corrientes,  presenta los siguientes balances de </t>
    </r>
    <r>
      <rPr>
        <b/>
        <sz val="12"/>
        <rFont val="Bookman Old Style"/>
        <family val="1"/>
      </rPr>
      <t xml:space="preserve">RD$1,470,985.85 y RD$1,401,690.17 </t>
    </r>
    <r>
      <rPr>
        <sz val="12"/>
        <rFont val="Bookman Old Style"/>
        <family val="1"/>
      </rPr>
      <t xml:space="preserve">observándose una disminución en el renglón ITBIS Pagados por Adelantado por un monto de </t>
    </r>
    <r>
      <rPr>
        <b/>
        <sz val="12"/>
        <rFont val="Bookman Old Style"/>
        <family val="1"/>
      </rPr>
      <t>RD$313,980.11</t>
    </r>
    <r>
      <rPr>
        <sz val="12"/>
        <rFont val="Bookman Old Style"/>
        <family val="1"/>
      </rPr>
      <t xml:space="preserve">, producto de que en el mismo se acumulaba de las compra de materiales para el Almacén de Suministros, ya que todo lo que se compra es para consumo y no se vende po tanto el Itbis forma parte del costo, por tal razón para este periodo procedimos a consumirlo reclasificándolo y llevándolo a la cuenta de costo, a los fines de que los mismos asuman su costo real incluyendo el ITBIS, así mismo se puede observar un incremento en la cuenta Compras Pendientes por Liquidar por un monto de  </t>
    </r>
    <r>
      <rPr>
        <b/>
        <sz val="12"/>
        <rFont val="Bookman Old Style"/>
        <family val="1"/>
      </rPr>
      <t>RD$237,504.91,</t>
    </r>
    <r>
      <rPr>
        <sz val="12"/>
        <rFont val="Bookman Old Style"/>
        <family val="1"/>
      </rPr>
      <t xml:space="preserve"> por lo que podemos concluir de que el monto total de las variaciones, es de </t>
    </r>
    <r>
      <rPr>
        <b/>
        <sz val="12"/>
        <rFont val="Bookman Old Style"/>
        <family val="1"/>
      </rPr>
      <t>RD$7,705.68.-</t>
    </r>
    <r>
      <rPr>
        <sz val="12"/>
        <rFont val="Bookman Old Style"/>
        <family val="1"/>
      </rPr>
      <t xml:space="preserve"> </t>
    </r>
  </si>
  <si>
    <r>
      <rPr>
        <b/>
        <sz val="12"/>
        <rFont val="Bookman Old Style"/>
        <family val="1"/>
      </rPr>
      <t xml:space="preserve">Inversiones </t>
    </r>
    <r>
      <rPr>
        <sz val="12"/>
        <rFont val="Bookman Old Style"/>
        <family val="1"/>
      </rPr>
      <t xml:space="preserve">: Al 31 Diciembre del período fiscal 2021 y 2020, la cuenta inversiones financieras a largo plazo  presenta los siguientes balance </t>
    </r>
    <r>
      <rPr>
        <b/>
        <sz val="12"/>
        <rFont val="Bookman Old Style"/>
        <family val="1"/>
      </rPr>
      <t xml:space="preserve">RD$260,290.27, </t>
    </r>
    <r>
      <rPr>
        <sz val="12"/>
        <rFont val="Bookman Old Style"/>
        <family val="1"/>
      </rPr>
      <t xml:space="preserve">depositado en el </t>
    </r>
    <r>
      <rPr>
        <b/>
        <sz val="12"/>
        <rFont val="Bookman Old Style"/>
        <family val="1"/>
      </rPr>
      <t>Banco Agrícola</t>
    </r>
    <r>
      <rPr>
        <sz val="12"/>
        <rFont val="Bookman Old Style"/>
        <family val="1"/>
      </rPr>
      <t xml:space="preserve"> amparado en Certificados Financieros y el monto de </t>
    </r>
    <r>
      <rPr>
        <b/>
        <sz val="12"/>
        <rFont val="Bookman Old Style"/>
        <family val="1"/>
      </rPr>
      <t xml:space="preserve">RD$1,895,300.00, </t>
    </r>
    <r>
      <rPr>
        <sz val="12"/>
        <rFont val="Bookman Old Style"/>
        <family val="1"/>
      </rPr>
      <t xml:space="preserve">están depositados en Acciones de Capital mas los intereses que generan en </t>
    </r>
    <r>
      <rPr>
        <b/>
        <sz val="12"/>
        <rFont val="Bookman Old Style"/>
        <family val="1"/>
      </rPr>
      <t>AGRODOSA,</t>
    </r>
    <r>
      <rPr>
        <sz val="12"/>
        <rFont val="Bookman Old Style"/>
        <family val="1"/>
      </rPr>
      <t xml:space="preserve"> asi como Acciones en </t>
    </r>
    <r>
      <rPr>
        <b/>
        <sz val="12"/>
        <rFont val="Bookman Old Style"/>
        <family val="1"/>
      </rPr>
      <t>Add</t>
    </r>
    <r>
      <rPr>
        <sz val="12"/>
        <rFont val="Bookman Old Style"/>
        <family val="1"/>
      </rPr>
      <t xml:space="preserve"> </t>
    </r>
    <r>
      <rPr>
        <b/>
        <sz val="12"/>
        <rFont val="Bookman Old Style"/>
        <family val="1"/>
      </rPr>
      <t>Capital</t>
    </r>
    <r>
      <rPr>
        <sz val="12"/>
        <rFont val="Bookman Old Style"/>
        <family val="1"/>
      </rPr>
      <t xml:space="preserve"> por valor de</t>
    </r>
    <r>
      <rPr>
        <b/>
        <sz val="12"/>
        <rFont val="Bookman Old Style"/>
        <family val="1"/>
      </rPr>
      <t xml:space="preserve"> RD$463,100.00</t>
    </r>
    <r>
      <rPr>
        <sz val="12"/>
        <rFont val="Bookman Old Style"/>
        <family val="1"/>
      </rPr>
      <t xml:space="preserve"> según Certificado de Inversión respetivamente. </t>
    </r>
  </si>
  <si>
    <r>
      <t>El 31 Diciembre del período fiscal 2021 y 2020, estas cuentas presentan los siguientes balance</t>
    </r>
    <r>
      <rPr>
        <b/>
        <sz val="12"/>
        <rFont val="Bookman Old Style"/>
        <family val="1"/>
      </rPr>
      <t xml:space="preserve"> RD$32,038,504.47</t>
    </r>
    <r>
      <rPr>
        <sz val="12"/>
        <rFont val="Bookman Old Style"/>
        <family val="1"/>
      </rPr>
      <t xml:space="preserve"> y </t>
    </r>
    <r>
      <rPr>
        <b/>
        <sz val="12"/>
        <rFont val="Bookman Old Style"/>
        <family val="1"/>
      </rPr>
      <t>RD$21,917,722.62</t>
    </r>
    <r>
      <rPr>
        <sz val="12"/>
        <rFont val="Bookman Old Style"/>
        <family val="1"/>
      </rPr>
      <t xml:space="preserve"> respectivamente, en el cual se puede observar una variación significativa en el renglón de las Cuentas por Pagar Proveedores con un incremento de </t>
    </r>
    <r>
      <rPr>
        <b/>
        <sz val="12"/>
        <rFont val="Bookman Old Style"/>
        <family val="1"/>
      </rPr>
      <t>RD$9,997,140.95</t>
    </r>
    <r>
      <rPr>
        <sz val="12"/>
        <rFont val="Bookman Old Style"/>
        <family val="1"/>
      </rPr>
      <t xml:space="preserve">, así mismo en el renglón de Otras Cuentas por Pagar a Tercero por valor de </t>
    </r>
    <r>
      <rPr>
        <b/>
        <sz val="12"/>
        <rFont val="Bookman Old Style"/>
        <family val="1"/>
      </rPr>
      <t xml:space="preserve">RD$123,640.90, </t>
    </r>
    <r>
      <rPr>
        <sz val="12"/>
        <rFont val="Bookman Old Style"/>
        <family val="1"/>
      </rPr>
      <t>producto de un incremento en los compromisos contraidos con los suplidores. la variación total fue de</t>
    </r>
    <r>
      <rPr>
        <b/>
        <sz val="12"/>
        <rFont val="Bookman Old Style"/>
        <family val="1"/>
      </rPr>
      <t xml:space="preserve"> RD$10,120,781.85.-</t>
    </r>
  </si>
  <si>
    <r>
      <t xml:space="preserve">Al 31 Diciembre del período fiscal 2021 y al 31 Diciembre del periodo fiscal 2020, estas cuentas presentan los siguientes balance </t>
    </r>
    <r>
      <rPr>
        <b/>
        <sz val="12"/>
        <rFont val="Bookman Old Style"/>
        <family val="1"/>
      </rPr>
      <t xml:space="preserve">RD$2,574,980.64 </t>
    </r>
    <r>
      <rPr>
        <sz val="12"/>
        <rFont val="Bookman Old Style"/>
        <family val="1"/>
      </rPr>
      <t>y</t>
    </r>
    <r>
      <rPr>
        <b/>
        <sz val="12"/>
        <rFont val="Bookman Old Style"/>
        <family val="1"/>
      </rPr>
      <t xml:space="preserve"> RD$15,230,515.85 </t>
    </r>
    <r>
      <rPr>
        <sz val="12"/>
        <rFont val="Bookman Old Style"/>
        <family val="1"/>
      </rPr>
      <t>respectivamente. Este renglón está compuesto en su mayoría, por retenciones de Impuestos Sobre la Renta, ITBIS Retenidos, y Otras Retenciones, la variación total fue de</t>
    </r>
    <r>
      <rPr>
        <b/>
        <sz val="12"/>
        <rFont val="Bookman Old Style"/>
        <family val="1"/>
      </rPr>
      <t xml:space="preserve"> RD$12,655,535.21.</t>
    </r>
    <r>
      <rPr>
        <sz val="12"/>
        <rFont val="Bookman Old Style"/>
        <family val="1"/>
      </rPr>
      <t>-</t>
    </r>
  </si>
  <si>
    <r>
      <t xml:space="preserve">Al 31 Diciembre del período fiscal 2021, estas cuentas presentan los iguientes balance </t>
    </r>
    <r>
      <rPr>
        <b/>
        <sz val="12"/>
        <rFont val="Bookman Old Style"/>
        <family val="1"/>
      </rPr>
      <t>RD$92,570,180.43 y RD$90,125,813.14</t>
    </r>
    <r>
      <rPr>
        <sz val="12"/>
        <rFont val="Bookman Old Style"/>
        <family val="1"/>
      </rPr>
      <t xml:space="preserve"> respectivamente. las variaciones más significativas corresponden a cuenta de Cesantía tuvimos un incremento de </t>
    </r>
    <r>
      <rPr>
        <b/>
        <sz val="12"/>
        <rFont val="Bookman Old Style"/>
        <family val="1"/>
      </rPr>
      <t>RD$6,120,682.78</t>
    </r>
    <r>
      <rPr>
        <sz val="12"/>
        <rFont val="Bookman Old Style"/>
        <family val="1"/>
      </rPr>
      <t>, Invalidez una disminución de</t>
    </r>
    <r>
      <rPr>
        <b/>
        <sz val="12"/>
        <rFont val="Bookman Old Style"/>
        <family val="1"/>
      </rPr>
      <t xml:space="preserve"> RD$,859,000.00, </t>
    </r>
    <r>
      <rPr>
        <sz val="12"/>
        <rFont val="Bookman Old Style"/>
        <family val="1"/>
      </rPr>
      <t>en la cuenta</t>
    </r>
    <r>
      <rPr>
        <b/>
        <sz val="12"/>
        <rFont val="Bookman Old Style"/>
        <family val="1"/>
      </rPr>
      <t xml:space="preserve"> </t>
    </r>
    <r>
      <rPr>
        <sz val="12"/>
        <rFont val="Bookman Old Style"/>
        <family val="1"/>
      </rPr>
      <t>de</t>
    </r>
    <r>
      <rPr>
        <b/>
        <sz val="12"/>
        <rFont val="Bookman Old Style"/>
        <family val="1"/>
      </rPr>
      <t xml:space="preserve"> </t>
    </r>
    <r>
      <rPr>
        <sz val="12"/>
        <rFont val="Bookman Old Style"/>
        <family val="1"/>
      </rPr>
      <t>Seguro de vida una disminución de</t>
    </r>
    <r>
      <rPr>
        <b/>
        <sz val="12"/>
        <rFont val="Bookman Old Style"/>
        <family val="1"/>
      </rPr>
      <t xml:space="preserve"> RD$1,933,172.93, </t>
    </r>
    <r>
      <rPr>
        <sz val="12"/>
        <rFont val="Bookman Old Style"/>
        <family val="1"/>
      </rPr>
      <t>así mismo en la cuenta de Reclamaciones por pagar</t>
    </r>
    <r>
      <rPr>
        <b/>
        <sz val="12"/>
        <rFont val="Bookman Old Style"/>
        <family val="1"/>
      </rPr>
      <t xml:space="preserve"> </t>
    </r>
    <r>
      <rPr>
        <sz val="12"/>
        <rFont val="Bookman Old Style"/>
        <family val="1"/>
      </rPr>
      <t xml:space="preserve">Seguro Funerario incrementaron en un monto de </t>
    </r>
    <r>
      <rPr>
        <b/>
        <sz val="12"/>
        <rFont val="Bookman Old Style"/>
        <family val="1"/>
      </rPr>
      <t xml:space="preserve">RD$157,600.00, </t>
    </r>
    <r>
      <rPr>
        <sz val="12"/>
        <rFont val="Bookman Old Style"/>
        <family val="1"/>
      </rPr>
      <t>la variación total fue de</t>
    </r>
    <r>
      <rPr>
        <b/>
        <sz val="12"/>
        <rFont val="Bookman Old Style"/>
        <family val="1"/>
      </rPr>
      <t xml:space="preserve"> RD$2,444,367.29.-</t>
    </r>
    <r>
      <rPr>
        <sz val="12"/>
        <rFont val="Bookman Old Style"/>
        <family val="1"/>
      </rPr>
      <t xml:space="preserve"> </t>
    </r>
  </si>
  <si>
    <r>
      <rPr>
        <b/>
        <sz val="12"/>
        <rFont val="Bookman Old Style"/>
        <family val="1"/>
      </rPr>
      <t xml:space="preserve">Ayudas y Donaciones: </t>
    </r>
    <r>
      <rPr>
        <sz val="12"/>
        <rFont val="Bookman Old Style"/>
        <family val="1"/>
      </rPr>
      <t xml:space="preserve"> en el rubro del gastos corrientes, al 31 Diciembre del periodo fiscal 2021 y 2020, estas cuentas presentan los siguientes balance </t>
    </r>
    <r>
      <rPr>
        <b/>
        <sz val="12"/>
        <rFont val="Bookman Old Style"/>
        <family val="1"/>
      </rPr>
      <t xml:space="preserve">RD$66,230,114.16 y RD$63,157,083.34 </t>
    </r>
    <r>
      <rPr>
        <sz val="12"/>
        <rFont val="Bookman Old Style"/>
        <family val="1"/>
      </rPr>
      <t xml:space="preserve">respectivamente. Reflejando una disminución en la cuenta de Ayudas y Donaciones a Personas por valor de </t>
    </r>
    <r>
      <rPr>
        <b/>
        <sz val="12"/>
        <rFont val="Bookman Old Style"/>
        <family val="1"/>
      </rPr>
      <t xml:space="preserve">RD$9,497,779.20, </t>
    </r>
    <r>
      <rPr>
        <sz val="12"/>
        <rFont val="Bookman Old Style"/>
        <family val="1"/>
      </rPr>
      <t xml:space="preserve">así como un incremento en las cuentas de transferencias de seguros de vida, invalidez y cesantía por valor de </t>
    </r>
    <r>
      <rPr>
        <b/>
        <sz val="12"/>
        <rFont val="Bookman Old Style"/>
        <family val="1"/>
      </rPr>
      <t>RD$11,603,210.02</t>
    </r>
    <r>
      <rPr>
        <sz val="12"/>
        <rFont val="Bookman Old Style"/>
        <family val="1"/>
      </rPr>
      <t xml:space="preserve">, esto se debe a las devoluciones que se hicieron por estos conceptos mediantes cheques, los cuales se codificaron según el objetar del Gasto según del Clasificador  Presupuestal, lo que revela la variación total de </t>
    </r>
    <r>
      <rPr>
        <b/>
        <sz val="12"/>
        <rFont val="Bookman Old Style"/>
        <family val="1"/>
      </rPr>
      <t>RD$3,073,030.82</t>
    </r>
    <r>
      <rPr>
        <sz val="12"/>
        <rFont val="Bookman Old Style"/>
        <family val="1"/>
      </rPr>
      <t xml:space="preserve">, en comparación al Año anterior 2020.- </t>
    </r>
  </si>
  <si>
    <t>Gastos de Depreciación</t>
  </si>
  <si>
    <r>
      <rPr>
        <b/>
        <sz val="12"/>
        <rFont val="Bookman Old Style"/>
        <family val="1"/>
      </rPr>
      <t>Suministro y Materiales :</t>
    </r>
    <r>
      <rPr>
        <sz val="12"/>
        <rFont val="Bookman Old Style"/>
        <family val="1"/>
      </rPr>
      <t xml:space="preserve"> Al 31 Diciembre del periodo fiscal 2021 y 2020, estas cuentas presentan los siguientes balance </t>
    </r>
    <r>
      <rPr>
        <b/>
        <sz val="12"/>
        <rFont val="Bookman Old Style"/>
        <family val="1"/>
      </rPr>
      <t>RD$71,247,907.77 y RD$60,937,379.44</t>
    </r>
    <r>
      <rPr>
        <sz val="12"/>
        <rFont val="Bookman Old Style"/>
        <family val="1"/>
      </rPr>
      <t xml:space="preserve">, respectivamente. reflejando un incremento en la cuenta de Cueros y Cauchos por valor de </t>
    </r>
    <r>
      <rPr>
        <b/>
        <sz val="12"/>
        <rFont val="Bookman Old Style"/>
        <family val="1"/>
      </rPr>
      <t xml:space="preserve">RD$196,314.71, </t>
    </r>
    <r>
      <rPr>
        <sz val="12"/>
        <rFont val="Bookman Old Style"/>
        <family val="1"/>
      </rPr>
      <t>tambien en la cuenta de Productos de Minerales Metálicos y No Metálicos por valor de</t>
    </r>
    <r>
      <rPr>
        <b/>
        <sz val="12"/>
        <rFont val="Bookman Old Style"/>
        <family val="1"/>
      </rPr>
      <t xml:space="preserve"> RD$3,839,594.77  </t>
    </r>
    <r>
      <rPr>
        <sz val="12"/>
        <rFont val="Bookman Old Style"/>
        <family val="1"/>
      </rPr>
      <t xml:space="preserve">y así mismo en la cuenta de Combustibles, Lubricantes Productos Químicos y Conexos por un valor de </t>
    </r>
    <r>
      <rPr>
        <b/>
        <sz val="12"/>
        <rFont val="Bookman Old Style"/>
        <family val="1"/>
      </rPr>
      <t>RD$3,969,180.38</t>
    </r>
    <r>
      <rPr>
        <sz val="12"/>
        <rFont val="Bookman Old Style"/>
        <family val="1"/>
      </rPr>
      <t>, en Productos de Útiles Varios por un monto de</t>
    </r>
    <r>
      <rPr>
        <b/>
        <sz val="12"/>
        <rFont val="Bookman Old Style"/>
        <family val="1"/>
      </rPr>
      <t xml:space="preserve"> RD$1,096,212.71 </t>
    </r>
    <r>
      <rPr>
        <sz val="12"/>
        <rFont val="Bookman Old Style"/>
        <family val="1"/>
      </rPr>
      <t xml:space="preserve">y la cuenta de Textiles y Vestuario una disminución por un monto de </t>
    </r>
    <r>
      <rPr>
        <b/>
        <sz val="12"/>
        <rFont val="Bookman Old Style"/>
        <family val="1"/>
      </rPr>
      <t xml:space="preserve">RD$955,761.18, </t>
    </r>
    <r>
      <rPr>
        <sz val="12"/>
        <rFont val="Bookman Old Style"/>
        <family val="1"/>
      </rPr>
      <t>la variación total fue de</t>
    </r>
    <r>
      <rPr>
        <b/>
        <sz val="12"/>
        <rFont val="Bookman Old Style"/>
        <family val="1"/>
      </rPr>
      <t xml:space="preserve"> RD$10,310,528.33, </t>
    </r>
    <r>
      <rPr>
        <sz val="12"/>
        <rFont val="Bookman Old Style"/>
        <family val="1"/>
      </rPr>
      <t xml:space="preserve">en comparación con el  año anterior. </t>
    </r>
  </si>
  <si>
    <r>
      <rPr>
        <b/>
        <sz val="12"/>
        <rFont val="Bookman Old Style"/>
        <family val="1"/>
      </rPr>
      <t>Otros Gastos:</t>
    </r>
    <r>
      <rPr>
        <sz val="12"/>
        <rFont val="Bookman Old Style"/>
        <family val="1"/>
      </rPr>
      <t xml:space="preserve"> al 31 Diciembre del periodo fiscal 2021 y 2020, estas cuentas presentan los siguientes balances </t>
    </r>
    <r>
      <rPr>
        <b/>
        <sz val="12"/>
        <rFont val="Bookman Old Style"/>
        <family val="1"/>
      </rPr>
      <t>RD$132,027,315.79 y RD$116,465,560.32</t>
    </r>
    <r>
      <rPr>
        <sz val="12"/>
        <rFont val="Bookman Old Style"/>
        <family val="1"/>
      </rPr>
      <t xml:space="preserve"> respectivamente reflejando una disminución en Servicios Basicos de</t>
    </r>
    <r>
      <rPr>
        <b/>
        <sz val="12"/>
        <rFont val="Bookman Old Style"/>
        <family val="1"/>
      </rPr>
      <t xml:space="preserve"> RD$5,324,065.81, </t>
    </r>
    <r>
      <rPr>
        <sz val="12"/>
        <rFont val="Bookman Old Style"/>
        <family val="1"/>
      </rPr>
      <t>asi como una disminución en la cuenta de Publicidad</t>
    </r>
    <r>
      <rPr>
        <b/>
        <sz val="12"/>
        <rFont val="Bookman Old Style"/>
        <family val="1"/>
      </rPr>
      <t xml:space="preserve"> </t>
    </r>
    <r>
      <rPr>
        <sz val="12"/>
        <rFont val="Bookman Old Style"/>
        <family val="1"/>
      </rPr>
      <t>Impresión y Encuadernacion de</t>
    </r>
    <r>
      <rPr>
        <b/>
        <sz val="12"/>
        <rFont val="Bookman Old Style"/>
        <family val="1"/>
      </rPr>
      <t xml:space="preserve"> RD$448,224.57, </t>
    </r>
    <r>
      <rPr>
        <sz val="12"/>
        <rFont val="Bookman Old Style"/>
        <family val="1"/>
      </rPr>
      <t>Otros Servicios No Personales,</t>
    </r>
    <r>
      <rPr>
        <b/>
        <sz val="12"/>
        <rFont val="Bookman Old Style"/>
        <family val="1"/>
      </rPr>
      <t xml:space="preserve"> </t>
    </r>
    <r>
      <rPr>
        <sz val="12"/>
        <rFont val="Bookman Old Style"/>
        <family val="1"/>
      </rPr>
      <t xml:space="preserve">podemos observar una variación de </t>
    </r>
    <r>
      <rPr>
        <b/>
        <sz val="12"/>
        <rFont val="Bookman Old Style"/>
        <family val="1"/>
      </rPr>
      <t>RD$4,337,772.63</t>
    </r>
    <r>
      <rPr>
        <sz val="12"/>
        <rFont val="Bookman Old Style"/>
        <family val="1"/>
      </rPr>
      <t xml:space="preserve">, incremento en la cuenta de Alquileres y Rentas </t>
    </r>
    <r>
      <rPr>
        <b/>
        <sz val="12"/>
        <rFont val="Bookman Old Style"/>
        <family val="1"/>
      </rPr>
      <t>RD$2,833,327.93</t>
    </r>
    <r>
      <rPr>
        <sz val="12"/>
        <rFont val="Bookman Old Style"/>
        <family val="1"/>
      </rPr>
      <t xml:space="preserve">, la cuenta Costo de Ventas de Servicios Funerarios un incremento por valor de </t>
    </r>
    <r>
      <rPr>
        <b/>
        <sz val="12"/>
        <rFont val="Bookman Old Style"/>
        <family val="1"/>
      </rPr>
      <t>RD$2,022,310.48</t>
    </r>
    <r>
      <rPr>
        <sz val="12"/>
        <rFont val="Bookman Old Style"/>
        <family val="1"/>
      </rPr>
      <t xml:space="preserve">, debido a un incremento en la venta de Ataúdes en las Funerarias, la variación total fue de </t>
    </r>
    <r>
      <rPr>
        <b/>
        <sz val="12"/>
        <rFont val="Bookman Old Style"/>
        <family val="1"/>
      </rPr>
      <t>RD$15,561,755.47.</t>
    </r>
    <r>
      <rPr>
        <sz val="12"/>
        <rFont val="Bookman Old Style"/>
        <family val="1"/>
      </rPr>
      <t>-</t>
    </r>
    <r>
      <rPr>
        <b/>
        <sz val="12"/>
        <rFont val="Bookman Old Style"/>
        <family val="1"/>
      </rPr>
      <t xml:space="preserve"> </t>
    </r>
  </si>
  <si>
    <t>Amortización Seguro de Vehiculo</t>
  </si>
  <si>
    <t>Dieta en el Pais</t>
  </si>
  <si>
    <t>Gastos de Representacion</t>
  </si>
  <si>
    <t>Sueldos para Cargos Fijos</t>
  </si>
  <si>
    <t>Contratado o Igualado</t>
  </si>
  <si>
    <t>Compensaciónes Directas</t>
  </si>
  <si>
    <t>Remuneraciones</t>
  </si>
  <si>
    <t>Dietas y Gastos de Representación</t>
  </si>
  <si>
    <t>Prestaciones y Bonificaciones</t>
  </si>
  <si>
    <t>Prestaciones Laboral por Desvinculación</t>
  </si>
  <si>
    <t>Proporción de Vacaciones No Disfrutadas</t>
  </si>
  <si>
    <r>
      <t xml:space="preserve">Al 31 Diciembre del período fiscal 2021, esta cuenta presenta el balance </t>
    </r>
    <r>
      <rPr>
        <b/>
        <sz val="14"/>
        <rFont val="Bookman Old Style"/>
        <family val="1"/>
      </rPr>
      <t xml:space="preserve">RD$298,434.00. </t>
    </r>
    <r>
      <rPr>
        <sz val="14"/>
        <rFont val="Bookman Old Style"/>
        <family val="1"/>
      </rPr>
      <t xml:space="preserve">La cuenta otros activos no corriente no presenta variación a la fecha. </t>
    </r>
  </si>
  <si>
    <t>Contribuciones al Seguro de Salud</t>
  </si>
  <si>
    <r>
      <t>Al 31 Diciembre del período fiscal 2021 y 2020, este renglón presenta un balance de</t>
    </r>
    <r>
      <rPr>
        <b/>
        <sz val="12"/>
        <rFont val="Bookman Old Style"/>
        <family val="1"/>
      </rPr>
      <t xml:space="preserve"> RD$55,702.73,</t>
    </r>
    <r>
      <rPr>
        <sz val="12"/>
        <rFont val="Bookman Old Style"/>
        <family val="1"/>
      </rPr>
      <t xml:space="preserve"> producto de un compromiso contraido por un Ex-empleado al cual momento de desvicularlo no tenia beneficios laborales por tanto la Institucion asumira la deuda.</t>
    </r>
  </si>
  <si>
    <t xml:space="preserve">Servicios de Comunicación </t>
  </si>
  <si>
    <t>Contribuciones al Seguro de Pensión</t>
  </si>
  <si>
    <t xml:space="preserve">Sueldo a Pensionados </t>
  </si>
  <si>
    <t>Contribuciones al Riesgo Laboral</t>
  </si>
  <si>
    <t>Donaciones Recibidas de Harvest International, Inc</t>
  </si>
  <si>
    <t>Ajuste Patrimonial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</si>
</sst>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_-* #.##0.00\ _€_-;\-* #.##0.00\ _€_-;_-* &quot;-&quot;??\ _€_-;_-@_-"/>
  </numFmts>
  <fonts count="30">
    <font>
      <sz val="10"/>
      <name val="Bookman Old Style"/>
    </font>
    <font>
      <sz val="10"/>
      <name val="Bookman Old Style"/>
      <family val="1"/>
    </font>
    <font>
      <i/>
      <sz val="10"/>
      <name val="Bookman Old Style"/>
      <family val="1"/>
    </font>
    <font>
      <b/>
      <i/>
      <sz val="10"/>
      <name val="Bookman Old Style"/>
      <family val="1"/>
    </font>
    <font>
      <i/>
      <sz val="11"/>
      <name val="Bookman Old Style"/>
      <family val="1"/>
    </font>
    <font>
      <b/>
      <i/>
      <sz val="11"/>
      <name val="Bookman Old Style"/>
      <family val="1"/>
    </font>
    <font>
      <sz val="8"/>
      <name val="Bookman Old Style"/>
      <family val="1"/>
    </font>
    <font>
      <sz val="10"/>
      <name val="Bookman Old Style"/>
      <family val="1"/>
    </font>
    <font>
      <b/>
      <sz val="10"/>
      <name val="Bookman Old Style"/>
      <family val="1"/>
    </font>
    <font>
      <b/>
      <sz val="11"/>
      <name val="Bookman Old Style"/>
      <family val="1"/>
    </font>
    <font>
      <sz val="11"/>
      <name val="Bookman Old Style"/>
      <family val="1"/>
    </font>
    <font>
      <b/>
      <sz val="12"/>
      <name val="Bookman Old Style"/>
      <family val="1"/>
    </font>
    <font>
      <sz val="12"/>
      <name val="Bookman Old Style"/>
      <family val="1"/>
    </font>
    <font>
      <sz val="12"/>
      <name val="Symbol"/>
      <family val="1"/>
      <charset val="2"/>
    </font>
    <font>
      <b/>
      <i/>
      <sz val="12"/>
      <name val="Bookman Old Style"/>
      <family val="1"/>
    </font>
    <font>
      <i/>
      <sz val="12"/>
      <name val="Bookman Old Style"/>
      <family val="1"/>
    </font>
    <font>
      <sz val="7"/>
      <name val="Times New Roman"/>
      <family val="1"/>
    </font>
    <font>
      <sz val="10"/>
      <name val="Bookman Old Style"/>
      <family val="1"/>
    </font>
    <font>
      <i/>
      <sz val="10"/>
      <color theme="1"/>
      <name val="Bookman Old Style"/>
      <family val="1"/>
    </font>
    <font>
      <sz val="10"/>
      <color theme="1"/>
      <name val="Bookman Old Style"/>
      <family val="1"/>
    </font>
    <font>
      <b/>
      <sz val="10"/>
      <color theme="1"/>
      <name val="Bookman Old Style"/>
      <family val="1"/>
    </font>
    <font>
      <sz val="10"/>
      <color rgb="FFFF0000"/>
      <name val="Bookman Old Style"/>
      <family val="1"/>
    </font>
    <font>
      <i/>
      <sz val="10"/>
      <color rgb="FFFF0000"/>
      <name val="Bookman Old Style"/>
      <family val="1"/>
    </font>
    <font>
      <sz val="14"/>
      <name val="Bookman Old Style"/>
      <family val="1"/>
    </font>
    <font>
      <b/>
      <sz val="14"/>
      <name val="Bookman Old Style"/>
      <family val="1"/>
    </font>
    <font>
      <b/>
      <i/>
      <u val="singleAccounting"/>
      <sz val="10"/>
      <name val="Bookman Old Style"/>
      <family val="1"/>
    </font>
    <font>
      <sz val="9"/>
      <color indexed="81"/>
      <name val="Tahoma"/>
      <family val="2"/>
    </font>
    <font>
      <b/>
      <sz val="9"/>
      <color indexed="81"/>
      <name val="Tahoma"/>
      <family val="2"/>
    </font>
    <font>
      <i/>
      <sz val="9"/>
      <name val="AvenirNext LT Pro Cn"/>
      <family val="2"/>
    </font>
    <font>
      <sz val="9"/>
      <color indexed="8"/>
      <name val="Calibri"/>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7" fillId="0" borderId="0"/>
  </cellStyleXfs>
  <cellXfs count="192">
    <xf numFmtId="0" fontId="0" fillId="0" borderId="0" xfId="0"/>
    <xf numFmtId="0" fontId="2" fillId="0" borderId="0" xfId="0" applyFont="1"/>
    <xf numFmtId="43" fontId="2" fillId="0" borderId="0" xfId="0" applyNumberFormat="1" applyFont="1"/>
    <xf numFmtId="43" fontId="2" fillId="0" borderId="0" xfId="0" applyNumberFormat="1" applyFont="1" applyAlignment="1">
      <alignment horizontal="justify"/>
    </xf>
    <xf numFmtId="43" fontId="3" fillId="0" borderId="0" xfId="0" applyNumberFormat="1" applyFont="1" applyAlignment="1">
      <alignment horizontal="justify"/>
    </xf>
    <xf numFmtId="0" fontId="3" fillId="0" borderId="0" xfId="0" applyFont="1"/>
    <xf numFmtId="43" fontId="2" fillId="0" borderId="1" xfId="0" applyNumberFormat="1" applyFont="1" applyBorder="1"/>
    <xf numFmtId="43" fontId="3" fillId="0" borderId="2" xfId="0" applyNumberFormat="1" applyFont="1" applyBorder="1"/>
    <xf numFmtId="43" fontId="2" fillId="0" borderId="0" xfId="0" applyNumberFormat="1" applyFont="1" applyBorder="1"/>
    <xf numFmtId="43" fontId="3" fillId="0" borderId="0" xfId="0" applyNumberFormat="1" applyFont="1" applyBorder="1"/>
    <xf numFmtId="0" fontId="2" fillId="0" borderId="0" xfId="0" applyFont="1" applyBorder="1"/>
    <xf numFmtId="43" fontId="3" fillId="0" borderId="2" xfId="0" applyNumberFormat="1" applyFont="1" applyBorder="1" applyAlignment="1">
      <alignment horizontal="justify"/>
    </xf>
    <xf numFmtId="43" fontId="2" fillId="0" borderId="1" xfId="0" applyNumberFormat="1" applyFont="1" applyBorder="1" applyAlignment="1">
      <alignment horizontal="justify"/>
    </xf>
    <xf numFmtId="0" fontId="3" fillId="0" borderId="0" xfId="0" applyFont="1" applyAlignment="1">
      <alignment horizontal="center"/>
    </xf>
    <xf numFmtId="0" fontId="3" fillId="0" borderId="0" xfId="0" applyFont="1" applyAlignment="1">
      <alignment horizontal="justify"/>
    </xf>
    <xf numFmtId="0" fontId="2" fillId="0" borderId="0" xfId="0" applyFont="1" applyAlignment="1">
      <alignment horizontal="justify"/>
    </xf>
    <xf numFmtId="0" fontId="7" fillId="0" borderId="0" xfId="0" applyFont="1"/>
    <xf numFmtId="43" fontId="2" fillId="0" borderId="0" xfId="0" applyNumberFormat="1" applyFont="1" applyBorder="1" applyAlignment="1">
      <alignment horizontal="justify"/>
    </xf>
    <xf numFmtId="43" fontId="2" fillId="0" borderId="0" xfId="0" applyNumberFormat="1" applyFont="1" applyFill="1"/>
    <xf numFmtId="0" fontId="0" fillId="0" borderId="0" xfId="0" applyBorder="1"/>
    <xf numFmtId="43" fontId="2" fillId="0" borderId="0" xfId="0" applyNumberFormat="1" applyFont="1" applyFill="1" applyAlignment="1">
      <alignment horizontal="right"/>
    </xf>
    <xf numFmtId="43" fontId="2" fillId="0" borderId="1" xfId="0" applyNumberFormat="1" applyFont="1" applyFill="1" applyBorder="1" applyAlignment="1">
      <alignment horizontal="right"/>
    </xf>
    <xf numFmtId="0" fontId="3" fillId="0" borderId="0" xfId="0" applyFont="1" applyFill="1"/>
    <xf numFmtId="43" fontId="2" fillId="0" borderId="0" xfId="0" applyNumberFormat="1" applyFont="1" applyFill="1" applyBorder="1"/>
    <xf numFmtId="43" fontId="0" fillId="0" borderId="0" xfId="0" applyNumberFormat="1"/>
    <xf numFmtId="0" fontId="8" fillId="0" borderId="0" xfId="0" applyFont="1" applyAlignment="1">
      <alignment horizontal="center"/>
    </xf>
    <xf numFmtId="43" fontId="3" fillId="0" borderId="0" xfId="0" applyNumberFormat="1" applyFont="1" applyBorder="1" applyAlignment="1">
      <alignment horizontal="right"/>
    </xf>
    <xf numFmtId="43" fontId="3" fillId="0" borderId="2" xfId="0" applyNumberFormat="1" applyFont="1" applyBorder="1" applyAlignment="1">
      <alignment horizontal="right"/>
    </xf>
    <xf numFmtId="0" fontId="18" fillId="0" borderId="0" xfId="0" applyFont="1" applyAlignment="1">
      <alignment horizontal="justify"/>
    </xf>
    <xf numFmtId="43" fontId="18" fillId="0" borderId="0" xfId="0" applyNumberFormat="1" applyFont="1"/>
    <xf numFmtId="43" fontId="18" fillId="0" borderId="0" xfId="0" applyNumberFormat="1" applyFont="1" applyBorder="1"/>
    <xf numFmtId="0" fontId="2" fillId="0" borderId="0" xfId="0" applyFont="1" applyAlignment="1">
      <alignment horizontal="center"/>
    </xf>
    <xf numFmtId="43" fontId="2" fillId="0" borderId="0" xfId="0" applyNumberFormat="1" applyFont="1" applyAlignment="1">
      <alignment horizontal="right"/>
    </xf>
    <xf numFmtId="0" fontId="2" fillId="0" borderId="0" xfId="0" applyFont="1" applyAlignment="1">
      <alignment horizontal="left"/>
    </xf>
    <xf numFmtId="0" fontId="12" fillId="0" borderId="0" xfId="0" applyFont="1"/>
    <xf numFmtId="0" fontId="13" fillId="0" borderId="0" xfId="0" applyFont="1" applyAlignment="1">
      <alignment horizontal="left" indent="3"/>
    </xf>
    <xf numFmtId="43" fontId="0" fillId="0" borderId="0" xfId="1" applyFont="1"/>
    <xf numFmtId="43" fontId="3" fillId="0" borderId="0" xfId="0" applyNumberFormat="1" applyFont="1" applyBorder="1" applyAlignment="1">
      <alignment horizontal="justify"/>
    </xf>
    <xf numFmtId="4" fontId="0" fillId="0" borderId="0" xfId="0" applyNumberFormat="1"/>
    <xf numFmtId="0" fontId="5" fillId="0" borderId="0" xfId="0" applyFont="1" applyAlignment="1"/>
    <xf numFmtId="0" fontId="2" fillId="0" borderId="0" xfId="0" applyFont="1" applyAlignment="1"/>
    <xf numFmtId="4" fontId="8" fillId="0" borderId="2" xfId="0" applyNumberFormat="1" applyFont="1" applyBorder="1"/>
    <xf numFmtId="4" fontId="8" fillId="0" borderId="3" xfId="0" applyNumberFormat="1" applyFont="1" applyBorder="1"/>
    <xf numFmtId="0" fontId="5" fillId="0" borderId="0" xfId="0" applyFont="1" applyAlignment="1">
      <alignment horizontal="center"/>
    </xf>
    <xf numFmtId="0" fontId="0" fillId="0" borderId="0" xfId="0" applyBorder="1" applyAlignment="1">
      <alignment horizontal="center"/>
    </xf>
    <xf numFmtId="4" fontId="0" fillId="0" borderId="0" xfId="0" applyNumberFormat="1" applyBorder="1"/>
    <xf numFmtId="4" fontId="8" fillId="0" borderId="0" xfId="0" applyNumberFormat="1" applyFont="1" applyBorder="1"/>
    <xf numFmtId="4" fontId="3" fillId="0" borderId="2" xfId="0" applyNumberFormat="1" applyFont="1" applyBorder="1" applyAlignment="1">
      <alignment horizontal="right"/>
    </xf>
    <xf numFmtId="4" fontId="2" fillId="0" borderId="0" xfId="0" applyNumberFormat="1" applyFont="1" applyBorder="1"/>
    <xf numFmtId="4" fontId="3" fillId="0" borderId="0" xfId="0" applyNumberFormat="1" applyFont="1" applyBorder="1"/>
    <xf numFmtId="4" fontId="2" fillId="0" borderId="0" xfId="0" applyNumberFormat="1" applyFont="1"/>
    <xf numFmtId="4" fontId="2" fillId="0" borderId="1" xfId="0" applyNumberFormat="1" applyFont="1" applyBorder="1"/>
    <xf numFmtId="0" fontId="12" fillId="0" borderId="0" xfId="0" applyFont="1" applyAlignment="1">
      <alignment vertical="justify" wrapText="1"/>
    </xf>
    <xf numFmtId="0" fontId="15" fillId="0" borderId="0" xfId="0" applyFont="1"/>
    <xf numFmtId="0" fontId="14" fillId="0" borderId="0" xfId="0" applyFont="1" applyAlignment="1">
      <alignment horizontal="justify"/>
    </xf>
    <xf numFmtId="43" fontId="15" fillId="0" borderId="0" xfId="0" applyNumberFormat="1" applyFont="1"/>
    <xf numFmtId="43" fontId="2" fillId="0" borderId="0" xfId="1" applyFont="1"/>
    <xf numFmtId="0" fontId="8" fillId="0" borderId="0" xfId="0" applyFont="1"/>
    <xf numFmtId="43" fontId="15" fillId="0" borderId="1" xfId="0" applyNumberFormat="1" applyFont="1" applyBorder="1"/>
    <xf numFmtId="0" fontId="0" fillId="0" borderId="0" xfId="0" applyAlignment="1">
      <alignment wrapText="1"/>
    </xf>
    <xf numFmtId="0" fontId="12" fillId="0" borderId="0" xfId="0" applyFont="1" applyAlignment="1">
      <alignment horizontal="justify" vertical="justify" wrapText="1"/>
    </xf>
    <xf numFmtId="0" fontId="5" fillId="0" borderId="0" xfId="0" applyFont="1" applyAlignment="1">
      <alignment horizontal="justify"/>
    </xf>
    <xf numFmtId="43" fontId="5" fillId="0" borderId="2" xfId="0" applyNumberFormat="1" applyFont="1" applyBorder="1"/>
    <xf numFmtId="0" fontId="10" fillId="0" borderId="0" xfId="0" applyFont="1"/>
    <xf numFmtId="4" fontId="9" fillId="0" borderId="2" xfId="0" applyNumberFormat="1" applyFont="1" applyBorder="1"/>
    <xf numFmtId="2" fontId="0" fillId="0" borderId="0" xfId="0" applyNumberFormat="1"/>
    <xf numFmtId="0" fontId="3" fillId="0" borderId="0" xfId="0" applyFont="1" applyBorder="1" applyAlignment="1">
      <alignment horizontal="justify"/>
    </xf>
    <xf numFmtId="43" fontId="0" fillId="0" borderId="0" xfId="0" applyNumberFormat="1" applyBorder="1"/>
    <xf numFmtId="43" fontId="8" fillId="0" borderId="0" xfId="0" applyNumberFormat="1" applyFont="1"/>
    <xf numFmtId="0" fontId="12" fillId="0" borderId="0" xfId="0" applyFont="1" applyAlignment="1">
      <alignment horizontal="center" wrapText="1"/>
    </xf>
    <xf numFmtId="0" fontId="12" fillId="0" borderId="0" xfId="0" applyFont="1" applyAlignment="1">
      <alignment horizontal="justify" wrapText="1"/>
    </xf>
    <xf numFmtId="0" fontId="20" fillId="0" borderId="0" xfId="0" applyFont="1" applyBorder="1" applyAlignment="1">
      <alignment horizontal="center" wrapText="1"/>
    </xf>
    <xf numFmtId="43" fontId="8" fillId="0" borderId="0" xfId="0" applyNumberFormat="1" applyFont="1" applyBorder="1"/>
    <xf numFmtId="0" fontId="1" fillId="0" borderId="0" xfId="0" applyFont="1"/>
    <xf numFmtId="165" fontId="1" fillId="0" borderId="0" xfId="0" applyNumberFormat="1" applyFont="1"/>
    <xf numFmtId="43" fontId="1" fillId="0" borderId="0" xfId="0" applyNumberFormat="1" applyFont="1"/>
    <xf numFmtId="0" fontId="1" fillId="0" borderId="0" xfId="0" applyFont="1" applyBorder="1"/>
    <xf numFmtId="165" fontId="1" fillId="0" borderId="0" xfId="0" applyNumberFormat="1" applyFont="1" applyBorder="1"/>
    <xf numFmtId="43" fontId="1" fillId="0" borderId="0" xfId="0" applyNumberFormat="1" applyFont="1" applyBorder="1"/>
    <xf numFmtId="43" fontId="8" fillId="0" borderId="2" xfId="0" applyNumberFormat="1" applyFont="1" applyBorder="1"/>
    <xf numFmtId="0" fontId="21" fillId="0" borderId="0" xfId="0" applyFont="1"/>
    <xf numFmtId="43" fontId="21" fillId="0" borderId="0" xfId="0" applyNumberFormat="1" applyFont="1"/>
    <xf numFmtId="164" fontId="3" fillId="0" borderId="0" xfId="0" applyNumberFormat="1" applyFont="1" applyAlignment="1">
      <alignment horizontal="center"/>
    </xf>
    <xf numFmtId="164" fontId="3" fillId="0" borderId="0" xfId="0" applyNumberFormat="1" applyFont="1"/>
    <xf numFmtId="0" fontId="3" fillId="0" borderId="0" xfId="0" applyFont="1" applyAlignment="1">
      <alignment horizontal="center"/>
    </xf>
    <xf numFmtId="43" fontId="20" fillId="0" borderId="5" xfId="1" applyFont="1" applyBorder="1"/>
    <xf numFmtId="0" fontId="5" fillId="0" borderId="0" xfId="0" applyFont="1" applyAlignment="1">
      <alignment horizontal="center"/>
    </xf>
    <xf numFmtId="0" fontId="2" fillId="0" borderId="0" xfId="0" applyFont="1" applyAlignment="1">
      <alignment horizontal="center"/>
    </xf>
    <xf numFmtId="0" fontId="14" fillId="0" borderId="0" xfId="0" applyFont="1"/>
    <xf numFmtId="0" fontId="4" fillId="0" borderId="0" xfId="0" applyFont="1" applyAlignment="1">
      <alignment horizontal="justify"/>
    </xf>
    <xf numFmtId="0" fontId="5" fillId="0" borderId="0" xfId="0" applyFont="1"/>
    <xf numFmtId="0" fontId="4" fillId="0" borderId="0" xfId="0" applyFont="1"/>
    <xf numFmtId="0" fontId="9" fillId="0" borderId="0" xfId="0" applyFont="1"/>
    <xf numFmtId="0" fontId="5" fillId="0" borderId="0" xfId="0" applyFont="1" applyAlignment="1">
      <alignment horizontal="center"/>
    </xf>
    <xf numFmtId="0" fontId="2" fillId="0" borderId="0" xfId="0" applyFont="1" applyAlignment="1">
      <alignment horizontal="center"/>
    </xf>
    <xf numFmtId="0" fontId="12" fillId="0" borderId="0" xfId="0" applyFont="1" applyAlignment="1">
      <alignment horizontal="justify" vertical="justify" wrapText="1"/>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5" fillId="0" borderId="0" xfId="0" applyFont="1" applyAlignment="1">
      <alignment horizontal="justify" vertical="justify"/>
    </xf>
    <xf numFmtId="0" fontId="3" fillId="0" borderId="0" xfId="0" applyFont="1" applyAlignment="1">
      <alignment horizontal="right"/>
    </xf>
    <xf numFmtId="0" fontId="8" fillId="0" borderId="0" xfId="0" applyFont="1" applyAlignment="1">
      <alignment horizontal="right"/>
    </xf>
    <xf numFmtId="43" fontId="3" fillId="0" borderId="8" xfId="0" applyNumberFormat="1" applyFont="1" applyBorder="1"/>
    <xf numFmtId="0" fontId="20" fillId="0" borderId="0" xfId="0" applyFont="1" applyBorder="1" applyAlignment="1">
      <alignment wrapText="1"/>
    </xf>
    <xf numFmtId="43" fontId="20" fillId="0" borderId="0" xfId="1" applyFont="1" applyBorder="1"/>
    <xf numFmtId="0" fontId="3" fillId="0" borderId="0" xfId="0" applyFont="1" applyAlignment="1">
      <alignment horizontal="center"/>
    </xf>
    <xf numFmtId="43" fontId="1" fillId="0" borderId="0" xfId="1" applyFont="1"/>
    <xf numFmtId="0" fontId="1" fillId="0" borderId="0" xfId="0" applyFont="1" applyFill="1"/>
    <xf numFmtId="0" fontId="28" fillId="0" borderId="0" xfId="0" applyFont="1" applyFill="1" applyAlignment="1">
      <alignment horizontal="left" vertical="center" indent="1"/>
    </xf>
    <xf numFmtId="0" fontId="20" fillId="0" borderId="0" xfId="0" applyFont="1" applyFill="1" applyBorder="1" applyAlignment="1">
      <alignment wrapText="1"/>
    </xf>
    <xf numFmtId="43" fontId="20" fillId="0" borderId="0" xfId="1" applyFont="1" applyFill="1" applyBorder="1"/>
    <xf numFmtId="0" fontId="0" fillId="0" borderId="0" xfId="0" applyFill="1" applyBorder="1"/>
    <xf numFmtId="0" fontId="0" fillId="0" borderId="0" xfId="0" applyFill="1"/>
    <xf numFmtId="43" fontId="19" fillId="0" borderId="0" xfId="1" applyFont="1" applyFill="1" applyBorder="1"/>
    <xf numFmtId="0" fontId="19" fillId="0" borderId="0" xfId="0" applyFont="1" applyFill="1" applyBorder="1" applyAlignment="1">
      <alignment wrapText="1"/>
    </xf>
    <xf numFmtId="43" fontId="1" fillId="0" borderId="0" xfId="1" applyFont="1" applyBorder="1"/>
    <xf numFmtId="43" fontId="0" fillId="0" borderId="0" xfId="1" applyFont="1" applyBorder="1"/>
    <xf numFmtId="4" fontId="8" fillId="0" borderId="0" xfId="0" applyNumberFormat="1" applyFont="1"/>
    <xf numFmtId="49" fontId="29" fillId="0" borderId="0" xfId="0" applyNumberFormat="1" applyFont="1" applyAlignment="1">
      <alignment horizontal="left"/>
    </xf>
    <xf numFmtId="0" fontId="1" fillId="0" borderId="7" xfId="0" applyFont="1" applyBorder="1" applyAlignment="1">
      <alignment horizontal="left"/>
    </xf>
    <xf numFmtId="0" fontId="23" fillId="0" borderId="0" xfId="0" applyFont="1" applyAlignment="1">
      <alignment horizontal="justify" vertical="justify" wrapText="1"/>
    </xf>
    <xf numFmtId="43" fontId="22" fillId="0" borderId="0" xfId="0" applyNumberFormat="1" applyFont="1" applyBorder="1"/>
    <xf numFmtId="43" fontId="21" fillId="0" borderId="0" xfId="1" applyFont="1"/>
    <xf numFmtId="43" fontId="0" fillId="0" borderId="0" xfId="1" applyFont="1" applyFill="1"/>
    <xf numFmtId="0" fontId="8" fillId="0" borderId="0" xfId="0" applyFont="1" applyFill="1" applyBorder="1"/>
    <xf numFmtId="0" fontId="19" fillId="0" borderId="0" xfId="0" applyFont="1" applyFill="1" applyBorder="1" applyAlignment="1"/>
    <xf numFmtId="43" fontId="0" fillId="0" borderId="0" xfId="1" applyFont="1" applyFill="1" applyBorder="1"/>
    <xf numFmtId="0" fontId="8" fillId="0" borderId="0" xfId="0" applyFont="1" applyFill="1" applyBorder="1" applyAlignment="1">
      <alignment wrapText="1"/>
    </xf>
    <xf numFmtId="43" fontId="8" fillId="0" borderId="0" xfId="1" applyFont="1" applyFill="1" applyBorder="1"/>
    <xf numFmtId="0" fontId="8" fillId="0" borderId="0" xfId="0" applyFont="1" applyFill="1"/>
    <xf numFmtId="0" fontId="20" fillId="0" borderId="4" xfId="0" applyFont="1" applyBorder="1" applyAlignment="1"/>
    <xf numFmtId="0" fontId="1" fillId="0" borderId="7" xfId="0" applyFont="1" applyBorder="1" applyAlignment="1"/>
    <xf numFmtId="0" fontId="20" fillId="0" borderId="6" xfId="0" applyFont="1" applyFill="1" applyBorder="1" applyAlignment="1"/>
    <xf numFmtId="0" fontId="2" fillId="0" borderId="0" xfId="0" applyFont="1" applyFill="1"/>
    <xf numFmtId="43" fontId="22" fillId="0" borderId="0" xfId="0" applyNumberFormat="1" applyFont="1" applyFill="1"/>
    <xf numFmtId="0" fontId="5" fillId="0" borderId="0" xfId="0" applyFont="1" applyFill="1" applyAlignment="1"/>
    <xf numFmtId="0" fontId="2" fillId="0" borderId="0" xfId="0" applyFont="1" applyFill="1" applyAlignment="1"/>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xf>
    <xf numFmtId="0" fontId="3" fillId="0" borderId="0" xfId="0" applyNumberFormat="1" applyFont="1" applyFill="1" applyAlignment="1">
      <alignment horizontal="center"/>
    </xf>
    <xf numFmtId="0" fontId="3" fillId="0" borderId="0" xfId="0" applyNumberFormat="1" applyFont="1" applyFill="1"/>
    <xf numFmtId="43" fontId="3" fillId="0" borderId="0" xfId="0" applyNumberFormat="1" applyFont="1" applyFill="1"/>
    <xf numFmtId="0" fontId="2" fillId="0" borderId="0" xfId="0" applyFont="1" applyFill="1" applyAlignment="1">
      <alignment horizontal="justify"/>
    </xf>
    <xf numFmtId="43" fontId="0" fillId="0" borderId="0" xfId="0" applyNumberFormat="1" applyFill="1"/>
    <xf numFmtId="43" fontId="3" fillId="0" borderId="0" xfId="0" applyNumberFormat="1" applyFont="1" applyFill="1" applyBorder="1"/>
    <xf numFmtId="43" fontId="8" fillId="0" borderId="0" xfId="0" applyNumberFormat="1" applyFont="1" applyFill="1"/>
    <xf numFmtId="43" fontId="3" fillId="0" borderId="1" xfId="0" applyNumberFormat="1" applyFont="1" applyFill="1" applyBorder="1"/>
    <xf numFmtId="43" fontId="3" fillId="0" borderId="2" xfId="0" applyNumberFormat="1" applyFont="1" applyFill="1" applyBorder="1"/>
    <xf numFmtId="165" fontId="0" fillId="0" borderId="0" xfId="0" applyNumberFormat="1" applyFill="1"/>
    <xf numFmtId="43" fontId="3" fillId="0" borderId="0" xfId="0" applyNumberFormat="1" applyFont="1" applyFill="1" applyBorder="1" applyAlignment="1">
      <alignment horizontal="justify"/>
    </xf>
    <xf numFmtId="0" fontId="3" fillId="0" borderId="0" xfId="0" applyFont="1" applyFill="1" applyBorder="1" applyAlignment="1">
      <alignment horizontal="justify"/>
    </xf>
    <xf numFmtId="0" fontId="3" fillId="0" borderId="0" xfId="0" applyNumberFormat="1" applyFont="1" applyFill="1" applyBorder="1" applyAlignment="1">
      <alignment horizontal="center"/>
    </xf>
    <xf numFmtId="0" fontId="2" fillId="0" borderId="0" xfId="0" applyFont="1" applyFill="1" applyBorder="1" applyAlignment="1">
      <alignment horizontal="justify"/>
    </xf>
    <xf numFmtId="43" fontId="2" fillId="0" borderId="0" xfId="0" applyNumberFormat="1" applyFont="1" applyFill="1" applyBorder="1" applyAlignment="1">
      <alignment horizontal="justify"/>
    </xf>
    <xf numFmtId="0" fontId="7" fillId="0" borderId="0" xfId="0" applyFont="1" applyFill="1" applyBorder="1"/>
    <xf numFmtId="43" fontId="8" fillId="0" borderId="8" xfId="1" applyFont="1" applyFill="1" applyBorder="1"/>
    <xf numFmtId="43" fontId="2" fillId="0" borderId="1" xfId="0" applyNumberFormat="1" applyFont="1" applyFill="1" applyBorder="1"/>
    <xf numFmtId="43" fontId="25" fillId="0" borderId="0" xfId="0" applyNumberFormat="1" applyFont="1" applyFill="1" applyBorder="1"/>
    <xf numFmtId="0" fontId="15" fillId="0" borderId="0" xfId="0" applyFont="1" applyFill="1" applyAlignment="1">
      <alignment horizontal="justify"/>
    </xf>
    <xf numFmtId="43" fontId="15" fillId="0" borderId="0" xfId="0" applyNumberFormat="1" applyFont="1" applyFill="1"/>
    <xf numFmtId="43" fontId="15" fillId="0" borderId="1" xfId="0" applyNumberFormat="1" applyFont="1" applyFill="1" applyBorder="1"/>
    <xf numFmtId="43" fontId="8" fillId="0" borderId="0" xfId="1" applyFont="1" applyFill="1"/>
    <xf numFmtId="0" fontId="2" fillId="0" borderId="0" xfId="0" applyFont="1" applyFill="1" applyAlignment="1">
      <alignment horizontal="left"/>
    </xf>
    <xf numFmtId="43" fontId="2" fillId="0" borderId="0" xfId="1" applyFont="1" applyFill="1"/>
    <xf numFmtId="0" fontId="3" fillId="0" borderId="0" xfId="0" applyFont="1" applyAlignment="1">
      <alignment horizontal="center"/>
    </xf>
    <xf numFmtId="43" fontId="20" fillId="0" borderId="9" xfId="0" applyNumberFormat="1" applyFont="1" applyFill="1" applyBorder="1" applyAlignment="1"/>
    <xf numFmtId="43" fontId="1" fillId="0" borderId="0" xfId="1" applyFont="1" applyFill="1" applyBorder="1" applyAlignment="1"/>
    <xf numFmtId="43" fontId="1" fillId="0" borderId="0" xfId="1" applyFont="1" applyBorder="1" applyAlignment="1"/>
    <xf numFmtId="0" fontId="20" fillId="0" borderId="5" xfId="0" applyFont="1" applyBorder="1" applyAlignment="1">
      <alignment horizontal="right"/>
    </xf>
    <xf numFmtId="0" fontId="20" fillId="0" borderId="5" xfId="0" applyFont="1" applyBorder="1"/>
    <xf numFmtId="43" fontId="1" fillId="0" borderId="10" xfId="1" applyFont="1" applyBorder="1"/>
    <xf numFmtId="43" fontId="1" fillId="0" borderId="11" xfId="1" applyFont="1" applyFill="1" applyBorder="1" applyAlignment="1"/>
    <xf numFmtId="43" fontId="1" fillId="0" borderId="12" xfId="1" applyFont="1" applyBorder="1"/>
    <xf numFmtId="43" fontId="1" fillId="0" borderId="13" xfId="1" applyFont="1" applyBorder="1" applyAlignment="1"/>
    <xf numFmtId="43" fontId="1" fillId="0" borderId="14" xfId="1" applyFont="1" applyBorder="1"/>
    <xf numFmtId="43" fontId="1" fillId="0" borderId="15" xfId="1" applyFont="1" applyBorder="1" applyAlignment="1"/>
    <xf numFmtId="0" fontId="5" fillId="0" borderId="0" xfId="0" applyFont="1" applyAlignment="1">
      <alignment horizontal="center"/>
    </xf>
    <xf numFmtId="0" fontId="2"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horizontal="justify" wrapText="1"/>
    </xf>
    <xf numFmtId="0" fontId="5" fillId="0" borderId="0" xfId="0" applyFont="1" applyFill="1" applyAlignment="1">
      <alignment horizontal="center"/>
    </xf>
    <xf numFmtId="0" fontId="2" fillId="0" borderId="0" xfId="0" applyFont="1" applyFill="1" applyAlignment="1">
      <alignment horizontal="center"/>
    </xf>
    <xf numFmtId="0" fontId="12" fillId="0" borderId="0" xfId="0" applyFont="1" applyFill="1" applyAlignment="1">
      <alignment horizontal="justify" wrapText="1"/>
    </xf>
    <xf numFmtId="0" fontId="15" fillId="0" borderId="0" xfId="0" applyFont="1" applyAlignment="1">
      <alignment horizontal="justify" vertical="justify"/>
    </xf>
    <xf numFmtId="0" fontId="1" fillId="0" borderId="0" xfId="0" applyFont="1" applyAlignment="1">
      <alignment horizontal="center" wrapText="1"/>
    </xf>
    <xf numFmtId="0" fontId="12" fillId="0" borderId="0" xfId="0" applyFont="1" applyAlignment="1">
      <alignment horizontal="justify" vertical="justify" wrapText="1"/>
    </xf>
    <xf numFmtId="0" fontId="23" fillId="0" borderId="0" xfId="0" applyFont="1" applyAlignment="1">
      <alignment horizontal="justify" vertical="justify" wrapText="1"/>
    </xf>
    <xf numFmtId="0" fontId="12" fillId="0" borderId="0" xfId="0" applyFont="1" applyAlignment="1">
      <alignment horizontal="left" wrapText="1"/>
    </xf>
    <xf numFmtId="0" fontId="1" fillId="0" borderId="0" xfId="0" applyFont="1" applyFill="1" applyAlignment="1">
      <alignment horizontal="center" wrapText="1"/>
    </xf>
    <xf numFmtId="0" fontId="3" fillId="0" borderId="0" xfId="0" applyFont="1" applyAlignment="1">
      <alignment horizontal="center"/>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134180</xdr:colOff>
      <xdr:row>0</xdr:row>
      <xdr:rowOff>0</xdr:rowOff>
    </xdr:from>
    <xdr:to>
      <xdr:col>0</xdr:col>
      <xdr:colOff>1159565</xdr:colOff>
      <xdr:row>5</xdr:row>
      <xdr:rowOff>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180" y="0"/>
          <a:ext cx="1025385" cy="952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0</xdr:col>
      <xdr:colOff>1514475</xdr:colOff>
      <xdr:row>7</xdr:row>
      <xdr:rowOff>38100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371600"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1485900</xdr:colOff>
      <xdr:row>7</xdr:row>
      <xdr:rowOff>38100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1371600"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0</xdr:rowOff>
    </xdr:from>
    <xdr:to>
      <xdr:col>0</xdr:col>
      <xdr:colOff>1638300</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0"/>
          <a:ext cx="1371600" cy="1371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1485900</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371600" cy="1371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0</xdr:row>
      <xdr:rowOff>0</xdr:rowOff>
    </xdr:from>
    <xdr:to>
      <xdr:col>1</xdr:col>
      <xdr:colOff>1466850</xdr:colOff>
      <xdr:row>6</xdr:row>
      <xdr:rowOff>171450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0"/>
          <a:ext cx="1371600" cy="13716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0</xdr:col>
      <xdr:colOff>1581150</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371600" cy="13716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1295400</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1371600" cy="13716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66675</xdr:colOff>
      <xdr:row>0</xdr:row>
      <xdr:rowOff>0</xdr:rowOff>
    </xdr:from>
    <xdr:to>
      <xdr:col>1</xdr:col>
      <xdr:colOff>1438275</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0"/>
          <a:ext cx="1371600" cy="13716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209550</xdr:colOff>
      <xdr:row>0</xdr:row>
      <xdr:rowOff>0</xdr:rowOff>
    </xdr:from>
    <xdr:to>
      <xdr:col>1</xdr:col>
      <xdr:colOff>1581150</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371600" cy="13716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1</xdr:col>
      <xdr:colOff>1533525</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0"/>
          <a:ext cx="1371600"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152400</xdr:rowOff>
    </xdr:from>
    <xdr:to>
      <xdr:col>0</xdr:col>
      <xdr:colOff>1466850</xdr:colOff>
      <xdr:row>8</xdr:row>
      <xdr:rowOff>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52400"/>
          <a:ext cx="1371600" cy="13716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1390650</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1371600" cy="1371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142875</xdr:colOff>
      <xdr:row>0</xdr:row>
      <xdr:rowOff>0</xdr:rowOff>
    </xdr:from>
    <xdr:to>
      <xdr:col>1</xdr:col>
      <xdr:colOff>1514475</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0"/>
          <a:ext cx="1371600" cy="13716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1343025</xdr:colOff>
      <xdr:row>7</xdr:row>
      <xdr:rowOff>38100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371600" cy="13716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314325</xdr:colOff>
      <xdr:row>0</xdr:row>
      <xdr:rowOff>0</xdr:rowOff>
    </xdr:from>
    <xdr:to>
      <xdr:col>1</xdr:col>
      <xdr:colOff>1685925</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0"/>
          <a:ext cx="1371600"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28575</xdr:rowOff>
    </xdr:from>
    <xdr:to>
      <xdr:col>0</xdr:col>
      <xdr:colOff>1466850</xdr:colOff>
      <xdr:row>9</xdr:row>
      <xdr:rowOff>19050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09575"/>
          <a:ext cx="1333500" cy="1333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1</xdr:col>
      <xdr:colOff>1495425</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371600" cy="137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1371600</xdr:colOff>
      <xdr:row>6</xdr:row>
      <xdr:rowOff>114300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257300" cy="1257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1447800</xdr:colOff>
      <xdr:row>7</xdr:row>
      <xdr:rowOff>38100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371600"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257175</xdr:colOff>
      <xdr:row>0</xdr:row>
      <xdr:rowOff>0</xdr:rowOff>
    </xdr:from>
    <xdr:to>
      <xdr:col>0</xdr:col>
      <xdr:colOff>1628775</xdr:colOff>
      <xdr:row>7</xdr:row>
      <xdr:rowOff>38100</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0"/>
          <a:ext cx="1371600"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219075</xdr:colOff>
      <xdr:row>7</xdr:row>
      <xdr:rowOff>28575</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371600" cy="1371600"/>
        </a:xfrm>
        <a:prstGeom prst="rect">
          <a:avLst/>
        </a:prstGeom>
      </xdr:spPr>
    </xdr:pic>
    <xdr:clientData/>
  </xdr:twoCellAnchor>
  <mc:AlternateContent xmlns:mc="http://schemas.openxmlformats.org/markup-compatibility/2006">
    <mc:Choice xmlns:a14="http://schemas.microsoft.com/office/drawing/2010/main" Requires="a14">
      <xdr:twoCellAnchor>
        <xdr:from>
          <xdr:col>9</xdr:col>
          <xdr:colOff>0</xdr:colOff>
          <xdr:row>1</xdr:row>
          <xdr:rowOff>104775</xdr:rowOff>
        </xdr:from>
        <xdr:to>
          <xdr:col>9</xdr:col>
          <xdr:colOff>0</xdr:colOff>
          <xdr:row>5</xdr:row>
          <xdr:rowOff>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0</xdr:col>
      <xdr:colOff>1590675</xdr:colOff>
      <xdr:row>7</xdr:row>
      <xdr:rowOff>38100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0"/>
          <a:ext cx="1371600" cy="1371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132"/>
  <sheetViews>
    <sheetView tabSelected="1" view="pageBreakPreview" zoomScale="115" zoomScaleNormal="100" zoomScaleSheetLayoutView="115" workbookViewId="0">
      <selection activeCell="A31" sqref="A31"/>
    </sheetView>
  </sheetViews>
  <sheetFormatPr baseColWidth="10" defaultRowHeight="15"/>
  <cols>
    <col min="1" max="1" width="37.875" style="1" customWidth="1"/>
    <col min="2" max="2" width="2.375" style="1" customWidth="1"/>
    <col min="3" max="3" width="15.625" style="1" customWidth="1"/>
    <col min="4" max="4" width="3.125" style="1" customWidth="1"/>
    <col min="5" max="5" width="15.375" customWidth="1"/>
  </cols>
  <sheetData>
    <row r="2" spans="1:5" ht="15" customHeight="1">
      <c r="A2" s="178" t="s">
        <v>95</v>
      </c>
      <c r="B2" s="178"/>
      <c r="C2" s="178"/>
      <c r="D2" s="178"/>
      <c r="E2" s="178"/>
    </row>
    <row r="3" spans="1:5" ht="15" customHeight="1">
      <c r="A3" s="179" t="s">
        <v>225</v>
      </c>
      <c r="B3" s="179"/>
      <c r="C3" s="179"/>
      <c r="D3" s="179"/>
      <c r="E3" s="179"/>
    </row>
    <row r="4" spans="1:5" ht="15" customHeight="1">
      <c r="A4" s="179" t="s">
        <v>71</v>
      </c>
      <c r="B4" s="179"/>
      <c r="C4" s="179"/>
      <c r="D4" s="179"/>
      <c r="E4" s="179"/>
    </row>
    <row r="5" spans="1:5" ht="15" customHeight="1"/>
    <row r="6" spans="1:5" ht="15" customHeight="1">
      <c r="A6" s="5" t="s">
        <v>5</v>
      </c>
    </row>
    <row r="7" spans="1:5" ht="34.5" customHeight="1">
      <c r="A7" s="180" t="s">
        <v>234</v>
      </c>
      <c r="B7" s="180"/>
      <c r="C7" s="180"/>
      <c r="D7" s="180"/>
      <c r="E7" s="180"/>
    </row>
    <row r="8" spans="1:5" ht="34.5" customHeight="1">
      <c r="A8" s="180"/>
      <c r="B8" s="180"/>
      <c r="C8" s="180"/>
      <c r="D8" s="180"/>
      <c r="E8" s="180"/>
    </row>
    <row r="9" spans="1:5" ht="156" customHeight="1">
      <c r="A9" s="180"/>
      <c r="B9" s="180"/>
      <c r="C9" s="180"/>
      <c r="D9" s="180"/>
      <c r="E9" s="180"/>
    </row>
    <row r="10" spans="1:5" ht="9.75" customHeight="1">
      <c r="A10" s="5"/>
    </row>
    <row r="11" spans="1:5" ht="15" customHeight="1">
      <c r="A11" s="14" t="s">
        <v>10</v>
      </c>
      <c r="C11" s="13">
        <v>2021</v>
      </c>
      <c r="D11" s="31"/>
      <c r="E11" s="98">
        <v>2020</v>
      </c>
    </row>
    <row r="12" spans="1:5" ht="15" customHeight="1">
      <c r="A12" s="14"/>
      <c r="E12" s="1"/>
    </row>
    <row r="13" spans="1:5" ht="15" customHeight="1">
      <c r="A13" s="14" t="s">
        <v>37</v>
      </c>
      <c r="E13" s="1"/>
    </row>
    <row r="14" spans="1:5" ht="9.75" customHeight="1">
      <c r="A14" s="15"/>
      <c r="E14" s="1"/>
    </row>
    <row r="15" spans="1:5" ht="15" customHeight="1">
      <c r="A15" s="15" t="s">
        <v>12</v>
      </c>
      <c r="C15" s="2">
        <f>205.97+135230</f>
        <v>135435.97</v>
      </c>
      <c r="E15" s="2">
        <f>205.97+56200+123690+960</f>
        <v>181055.97</v>
      </c>
    </row>
    <row r="16" spans="1:5" ht="15" customHeight="1">
      <c r="A16" s="14"/>
      <c r="E16" s="1"/>
    </row>
    <row r="17" spans="1:5" ht="15" customHeight="1">
      <c r="A17" s="15" t="s">
        <v>13</v>
      </c>
      <c r="B17" s="2"/>
      <c r="C17" s="18">
        <v>1980027.57</v>
      </c>
      <c r="E17" s="2">
        <v>820645.84</v>
      </c>
    </row>
    <row r="18" spans="1:5" ht="15" customHeight="1">
      <c r="A18" s="15" t="s">
        <v>14</v>
      </c>
      <c r="B18" s="2"/>
      <c r="C18" s="2">
        <v>350027.16</v>
      </c>
      <c r="E18" s="2">
        <v>1373802.25</v>
      </c>
    </row>
    <row r="19" spans="1:5" ht="15" customHeight="1">
      <c r="A19" s="15" t="s">
        <v>15</v>
      </c>
      <c r="B19" s="2"/>
      <c r="C19" s="2">
        <v>329374.21999999997</v>
      </c>
      <c r="E19" s="2">
        <v>1191030.24</v>
      </c>
    </row>
    <row r="20" spans="1:5" ht="15" customHeight="1">
      <c r="A20" s="15" t="s">
        <v>16</v>
      </c>
      <c r="B20" s="2"/>
      <c r="C20" s="2">
        <v>1619840.3</v>
      </c>
      <c r="E20" s="2">
        <v>12245678.18</v>
      </c>
    </row>
    <row r="21" spans="1:5" ht="15" customHeight="1">
      <c r="A21" s="15" t="s">
        <v>17</v>
      </c>
      <c r="B21" s="3"/>
      <c r="C21" s="2">
        <v>2495934.5099999998</v>
      </c>
      <c r="E21" s="2">
        <v>7581798.0899999999</v>
      </c>
    </row>
    <row r="22" spans="1:5" ht="15" customHeight="1">
      <c r="A22" s="15" t="s">
        <v>18</v>
      </c>
      <c r="B22" s="2"/>
      <c r="C22" s="2">
        <v>152389.92000000001</v>
      </c>
      <c r="E22" s="2">
        <v>423269.2</v>
      </c>
    </row>
    <row r="23" spans="1:5" ht="15" customHeight="1">
      <c r="A23" s="15" t="s">
        <v>19</v>
      </c>
      <c r="B23" s="2"/>
      <c r="C23" s="2">
        <v>143055.51999999999</v>
      </c>
      <c r="E23" s="2">
        <v>236198.49</v>
      </c>
    </row>
    <row r="24" spans="1:5" ht="15" customHeight="1">
      <c r="A24" s="15" t="s">
        <v>20</v>
      </c>
      <c r="B24" s="2"/>
      <c r="C24" s="2"/>
      <c r="E24" s="2">
        <v>40</v>
      </c>
    </row>
    <row r="25" spans="1:5" ht="15" customHeight="1">
      <c r="A25" s="15" t="s">
        <v>21</v>
      </c>
      <c r="B25" s="2"/>
      <c r="C25" s="2">
        <v>1469927.98</v>
      </c>
      <c r="E25" s="2">
        <v>496058.22</v>
      </c>
    </row>
    <row r="26" spans="1:5" ht="15" customHeight="1">
      <c r="A26" s="15" t="s">
        <v>22</v>
      </c>
      <c r="B26" s="2"/>
      <c r="C26" s="8">
        <v>36832.379999999997</v>
      </c>
      <c r="E26" s="8">
        <v>55540.82</v>
      </c>
    </row>
    <row r="27" spans="1:5" ht="15" customHeight="1">
      <c r="A27" s="15" t="s">
        <v>140</v>
      </c>
      <c r="B27" s="2"/>
      <c r="C27" s="158">
        <v>64756314.899999999</v>
      </c>
      <c r="E27" s="6">
        <v>72953690.859999999</v>
      </c>
    </row>
    <row r="28" spans="1:5" ht="18.75" customHeight="1">
      <c r="A28" s="14" t="s">
        <v>11</v>
      </c>
      <c r="B28" s="2"/>
      <c r="C28" s="4">
        <f>SUM(C15:C27)</f>
        <v>73469160.429999992</v>
      </c>
      <c r="D28" s="4"/>
      <c r="E28" s="4">
        <f>SUM(E15:E27)</f>
        <v>97558808.159999996</v>
      </c>
    </row>
    <row r="29" spans="1:5" ht="10.5" customHeight="1">
      <c r="A29" s="14"/>
      <c r="B29" s="2"/>
      <c r="C29" s="2"/>
      <c r="D29" s="2"/>
      <c r="E29" s="2"/>
    </row>
    <row r="30" spans="1:5" ht="15" customHeight="1">
      <c r="A30" s="15" t="s">
        <v>9</v>
      </c>
      <c r="B30" s="2"/>
      <c r="C30" s="8">
        <f>60000.3+100000+50000+30000+15000+5000+5000+8000+20000+5000+180000+10000+15000+5000</f>
        <v>508000.3</v>
      </c>
      <c r="D30" s="8"/>
      <c r="E30" s="8">
        <f>40000.3+80000+50000+20000+15000+5000+5000+8000+20000+5000+180000+10000+8000+5000+10000</f>
        <v>461000.3</v>
      </c>
    </row>
    <row r="31" spans="1:5" ht="19.5" customHeight="1" thickBot="1">
      <c r="A31" s="14" t="s">
        <v>1</v>
      </c>
      <c r="B31" s="2"/>
      <c r="C31" s="7">
        <f>C28+C30</f>
        <v>73977160.729999989</v>
      </c>
      <c r="D31" s="9"/>
      <c r="E31" s="7">
        <f>E28+E30</f>
        <v>98019808.459999993</v>
      </c>
    </row>
    <row r="32" spans="1:5" ht="22.5" customHeight="1" thickTop="1">
      <c r="A32" s="16"/>
      <c r="B32" s="2"/>
      <c r="C32" s="2"/>
      <c r="D32" s="2"/>
      <c r="E32" s="38"/>
    </row>
    <row r="33" spans="1:5" ht="15" customHeight="1">
      <c r="E33" s="38"/>
    </row>
    <row r="34" spans="1:5" ht="15" customHeight="1">
      <c r="E34" s="38"/>
    </row>
    <row r="35" spans="1:5" ht="15" customHeight="1">
      <c r="E35" s="38"/>
    </row>
    <row r="36" spans="1:5" ht="15" customHeight="1">
      <c r="E36" s="38"/>
    </row>
    <row r="37" spans="1:5" ht="15" customHeight="1">
      <c r="E37" s="38"/>
    </row>
    <row r="38" spans="1:5" ht="15" customHeight="1">
      <c r="E38" s="38"/>
    </row>
    <row r="39" spans="1:5" ht="15" customHeight="1">
      <c r="A39" s="180"/>
      <c r="B39" s="180"/>
      <c r="C39" s="180"/>
      <c r="D39" s="180"/>
      <c r="E39" s="180"/>
    </row>
    <row r="40" spans="1:5" ht="15" customHeight="1">
      <c r="A40" s="180"/>
      <c r="B40" s="180"/>
      <c r="C40" s="180"/>
      <c r="D40" s="180"/>
      <c r="E40" s="180"/>
    </row>
    <row r="41" spans="1:5" ht="15" customHeight="1">
      <c r="A41" s="180"/>
      <c r="B41" s="180"/>
      <c r="C41" s="180"/>
      <c r="D41" s="180"/>
      <c r="E41" s="180"/>
    </row>
    <row r="42" spans="1:5" ht="15" customHeight="1">
      <c r="E42" s="38"/>
    </row>
    <row r="43" spans="1:5" ht="15" customHeight="1">
      <c r="E43" s="38"/>
    </row>
    <row r="44" spans="1:5" ht="15" customHeight="1">
      <c r="E44" s="38"/>
    </row>
    <row r="45" spans="1:5" ht="15" customHeight="1">
      <c r="E45" s="38"/>
    </row>
    <row r="46" spans="1:5" ht="15" customHeight="1">
      <c r="E46" s="38"/>
    </row>
    <row r="47" spans="1:5" ht="15" customHeight="1">
      <c r="E47" s="38"/>
    </row>
    <row r="48" spans="1:5" ht="15" customHeight="1">
      <c r="E48" s="38"/>
    </row>
    <row r="49" spans="5:5" ht="15" customHeight="1">
      <c r="E49" s="38"/>
    </row>
    <row r="50" spans="5:5" ht="15" customHeight="1">
      <c r="E50" s="38"/>
    </row>
    <row r="51" spans="5:5" ht="15" customHeight="1">
      <c r="E51" s="38"/>
    </row>
    <row r="52" spans="5:5" ht="15" customHeight="1">
      <c r="E52" s="38"/>
    </row>
    <row r="53" spans="5:5" ht="15" customHeight="1">
      <c r="E53" s="38"/>
    </row>
    <row r="54" spans="5:5" ht="15" customHeight="1">
      <c r="E54" s="38"/>
    </row>
    <row r="55" spans="5:5" ht="15" customHeight="1">
      <c r="E55" s="38"/>
    </row>
    <row r="56" spans="5:5" ht="15" customHeight="1">
      <c r="E56" s="38"/>
    </row>
    <row r="57" spans="5:5" ht="15" customHeight="1">
      <c r="E57" s="38"/>
    </row>
    <row r="58" spans="5:5" ht="15" customHeight="1">
      <c r="E58" s="38"/>
    </row>
    <row r="59" spans="5:5" ht="15" customHeight="1">
      <c r="E59" s="38"/>
    </row>
    <row r="60" spans="5:5" ht="15" customHeight="1">
      <c r="E60" s="38"/>
    </row>
    <row r="61" spans="5:5" ht="15" customHeight="1">
      <c r="E61" s="38"/>
    </row>
    <row r="62" spans="5:5" ht="15" customHeight="1">
      <c r="E62" s="38"/>
    </row>
    <row r="63" spans="5:5" ht="15" customHeight="1">
      <c r="E63" s="38"/>
    </row>
    <row r="64" spans="5:5" ht="15" customHeight="1">
      <c r="E64" s="38"/>
    </row>
    <row r="65" spans="5:5" ht="15" customHeight="1">
      <c r="E65" s="38"/>
    </row>
    <row r="66" spans="5:5" ht="15" customHeight="1">
      <c r="E66" s="38"/>
    </row>
    <row r="67" spans="5:5" ht="15" customHeight="1">
      <c r="E67" s="38"/>
    </row>
    <row r="68" spans="5:5" ht="15" customHeight="1">
      <c r="E68" s="38"/>
    </row>
    <row r="69" spans="5:5" ht="15" customHeight="1">
      <c r="E69" s="38"/>
    </row>
    <row r="70" spans="5:5" ht="15" customHeight="1">
      <c r="E70" s="38"/>
    </row>
    <row r="71" spans="5:5" ht="15" customHeight="1">
      <c r="E71" s="38"/>
    </row>
    <row r="72" spans="5:5" ht="15" customHeight="1">
      <c r="E72" s="38"/>
    </row>
    <row r="73" spans="5:5" ht="15" customHeight="1">
      <c r="E73" s="38"/>
    </row>
    <row r="74" spans="5:5" ht="15" customHeight="1">
      <c r="E74" s="38"/>
    </row>
    <row r="75" spans="5:5" ht="15" customHeight="1"/>
    <row r="76" spans="5:5" ht="15" customHeight="1"/>
    <row r="77" spans="5:5" ht="15" customHeight="1"/>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5">
    <mergeCell ref="A2:E2"/>
    <mergeCell ref="A3:E3"/>
    <mergeCell ref="A4:E4"/>
    <mergeCell ref="A39:E41"/>
    <mergeCell ref="A7:E9"/>
  </mergeCells>
  <phoneticPr fontId="6" type="noConversion"/>
  <printOptions horizontalCentered="1" verticalCentered="1"/>
  <pageMargins left="0.27559055118110237" right="0.27559055118110237" top="0" bottom="1.1811023622047245" header="0" footer="1.1811023622047245"/>
  <pageSetup scale="95"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38"/>
  <sheetViews>
    <sheetView workbookViewId="0">
      <selection activeCell="F8" sqref="F8"/>
    </sheetView>
  </sheetViews>
  <sheetFormatPr baseColWidth="10" defaultRowHeight="15"/>
  <cols>
    <col min="1" max="1" width="37.875" style="1" customWidth="1"/>
    <col min="2" max="2" width="16" style="1" customWidth="1"/>
    <col min="3" max="3" width="1.375" customWidth="1"/>
    <col min="4" max="4" width="15" customWidth="1"/>
    <col min="5" max="5" width="13.875" hidden="1" customWidth="1"/>
    <col min="6" max="6" width="13.75" customWidth="1"/>
  </cols>
  <sheetData>
    <row r="8" spans="1:4" ht="15.75">
      <c r="A8" s="178" t="s">
        <v>109</v>
      </c>
      <c r="B8" s="178"/>
      <c r="C8" s="178"/>
      <c r="D8" s="178"/>
    </row>
    <row r="9" spans="1:4">
      <c r="A9" s="179" t="s">
        <v>201</v>
      </c>
      <c r="B9" s="179"/>
      <c r="C9" s="179"/>
      <c r="D9" s="179"/>
    </row>
    <row r="10" spans="1:4">
      <c r="A10" s="179" t="s">
        <v>71</v>
      </c>
      <c r="B10" s="179"/>
      <c r="C10" s="179"/>
      <c r="D10" s="179"/>
    </row>
    <row r="11" spans="1:4">
      <c r="A11" s="5" t="s">
        <v>32</v>
      </c>
    </row>
    <row r="13" spans="1:4" ht="26.25" customHeight="1">
      <c r="A13" s="187" t="s">
        <v>237</v>
      </c>
      <c r="B13" s="187"/>
      <c r="C13" s="187"/>
      <c r="D13" s="187"/>
    </row>
    <row r="14" spans="1:4" ht="21.75" customHeight="1">
      <c r="A14" s="187"/>
      <c r="B14" s="187"/>
      <c r="C14" s="187"/>
      <c r="D14" s="187"/>
    </row>
    <row r="15" spans="1:4" ht="30.75" customHeight="1">
      <c r="A15" s="187"/>
      <c r="B15" s="187"/>
      <c r="C15" s="187"/>
      <c r="D15" s="187"/>
    </row>
    <row r="16" spans="1:4" ht="30.75" customHeight="1">
      <c r="A16" s="187"/>
      <c r="B16" s="187"/>
      <c r="C16" s="187"/>
      <c r="D16" s="187"/>
    </row>
    <row r="17" spans="1:6" ht="56.25" customHeight="1">
      <c r="A17" s="187"/>
      <c r="B17" s="187"/>
      <c r="C17" s="187"/>
      <c r="D17" s="187"/>
    </row>
    <row r="20" spans="1:6">
      <c r="A20" s="14" t="s">
        <v>10</v>
      </c>
      <c r="B20" s="13">
        <v>2021</v>
      </c>
      <c r="C20" s="57"/>
      <c r="D20" s="98">
        <v>2020</v>
      </c>
    </row>
    <row r="21" spans="1:6">
      <c r="A21" s="14"/>
      <c r="D21" s="1"/>
      <c r="E21" s="24"/>
      <c r="F21" s="24"/>
    </row>
    <row r="22" spans="1:6">
      <c r="A22" s="15" t="s">
        <v>29</v>
      </c>
      <c r="B22" s="32">
        <v>28243444.969999999</v>
      </c>
      <c r="D22" s="32">
        <v>18246304.02</v>
      </c>
      <c r="E22" s="24">
        <f>+B22-D22</f>
        <v>9997140.9499999993</v>
      </c>
      <c r="F22" s="24"/>
    </row>
    <row r="23" spans="1:6">
      <c r="A23" s="15" t="s">
        <v>49</v>
      </c>
      <c r="B23" s="8">
        <v>667872.39</v>
      </c>
      <c r="C23" s="19"/>
      <c r="D23" s="8">
        <v>544231.49</v>
      </c>
      <c r="E23" s="24">
        <f t="shared" ref="E23:E24" si="0">+B23-D23</f>
        <v>123640.90000000002</v>
      </c>
      <c r="F23" s="24"/>
    </row>
    <row r="24" spans="1:6" ht="15" customHeight="1">
      <c r="A24" s="15" t="s">
        <v>197</v>
      </c>
      <c r="B24" s="12">
        <v>3127187.11</v>
      </c>
      <c r="C24" s="3"/>
      <c r="D24" s="12">
        <v>3127187.11</v>
      </c>
      <c r="E24" s="24">
        <f t="shared" si="0"/>
        <v>0</v>
      </c>
      <c r="F24" s="24"/>
    </row>
    <row r="25" spans="1:6" ht="15.75" thickBot="1">
      <c r="A25" s="14" t="s">
        <v>1</v>
      </c>
      <c r="B25" s="7">
        <f>SUM(B21:B24)</f>
        <v>32038504.469999999</v>
      </c>
      <c r="C25" s="46"/>
      <c r="D25" s="41">
        <f>SUM(D21:D24)</f>
        <v>21917722.619999997</v>
      </c>
      <c r="E25" s="24">
        <f>+B25-D25</f>
        <v>10120781.850000001</v>
      </c>
      <c r="F25" s="24"/>
    </row>
    <row r="26" spans="1:6" ht="15.75" thickTop="1">
      <c r="A26" s="15"/>
      <c r="B26" s="8"/>
      <c r="D26" s="8"/>
      <c r="E26" s="24"/>
      <c r="F26" s="24"/>
    </row>
    <row r="27" spans="1:6">
      <c r="A27" s="15"/>
      <c r="B27" s="8"/>
      <c r="D27" s="8"/>
      <c r="E27" s="24"/>
      <c r="F27" s="24"/>
    </row>
    <row r="36" spans="1:2">
      <c r="A36" s="14"/>
      <c r="B36" s="2"/>
    </row>
    <row r="37" spans="1:2">
      <c r="A37" s="16"/>
      <c r="B37" s="2"/>
    </row>
    <row r="38" spans="1:2">
      <c r="A38" s="15"/>
      <c r="B38" s="2"/>
    </row>
  </sheetData>
  <mergeCells count="4">
    <mergeCell ref="A8:D8"/>
    <mergeCell ref="A9:D9"/>
    <mergeCell ref="A10:D10"/>
    <mergeCell ref="A13:D17"/>
  </mergeCells>
  <phoneticPr fontId="6" type="noConversion"/>
  <printOptions horizontalCentered="1"/>
  <pageMargins left="0.35433070866141736" right="0.23622047244094491" top="0.27559055118110237" bottom="0.27559055118110237" header="0.23622047244094491"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35"/>
  <sheetViews>
    <sheetView topLeftCell="A2" workbookViewId="0">
      <selection activeCell="I22" sqref="I22"/>
    </sheetView>
  </sheetViews>
  <sheetFormatPr baseColWidth="10" defaultRowHeight="15"/>
  <cols>
    <col min="1" max="1" width="1.875" customWidth="1"/>
    <col min="2" max="2" width="37.875" style="1" customWidth="1"/>
    <col min="3" max="3" width="18.75" style="1" customWidth="1"/>
    <col min="4" max="4" width="1.125" style="1" customWidth="1"/>
    <col min="5" max="5" width="17" style="1" customWidth="1"/>
    <col min="6" max="6" width="20.375" hidden="1" customWidth="1"/>
    <col min="7" max="7" width="15.875" customWidth="1"/>
    <col min="8" max="8" width="11.375" bestFit="1" customWidth="1"/>
    <col min="10" max="10" width="13.875" customWidth="1"/>
    <col min="11" max="11" width="12.125" customWidth="1"/>
  </cols>
  <sheetData>
    <row r="9" spans="2:7" ht="15.75">
      <c r="B9" s="178" t="s">
        <v>110</v>
      </c>
      <c r="C9" s="178"/>
      <c r="D9" s="178"/>
      <c r="E9" s="178"/>
      <c r="F9" s="39"/>
      <c r="G9" s="39"/>
    </row>
    <row r="10" spans="2:7">
      <c r="B10" s="179" t="s">
        <v>201</v>
      </c>
      <c r="C10" s="179"/>
      <c r="D10" s="179"/>
      <c r="E10" s="179"/>
      <c r="F10" s="40"/>
      <c r="G10" s="40"/>
    </row>
    <row r="11" spans="2:7">
      <c r="B11" s="179" t="s">
        <v>71</v>
      </c>
      <c r="C11" s="179"/>
      <c r="D11" s="179"/>
      <c r="E11" s="179"/>
      <c r="F11" s="40"/>
      <c r="G11" s="40"/>
    </row>
    <row r="12" spans="2:7">
      <c r="B12" s="5" t="s">
        <v>119</v>
      </c>
    </row>
    <row r="13" spans="2:7">
      <c r="B13" s="5"/>
    </row>
    <row r="14" spans="2:7" ht="20.25" customHeight="1">
      <c r="B14" s="181" t="s">
        <v>238</v>
      </c>
      <c r="C14" s="181"/>
      <c r="D14" s="181"/>
      <c r="E14" s="181"/>
    </row>
    <row r="15" spans="2:7" ht="19.5" customHeight="1">
      <c r="B15" s="181"/>
      <c r="C15" s="181"/>
      <c r="D15" s="181"/>
      <c r="E15" s="181"/>
    </row>
    <row r="16" spans="2:7" ht="18.75" customHeight="1">
      <c r="B16" s="181"/>
      <c r="C16" s="181"/>
      <c r="D16" s="181"/>
      <c r="E16" s="181"/>
    </row>
    <row r="17" spans="2:11" ht="82.5" customHeight="1">
      <c r="B17" s="181"/>
      <c r="C17" s="181"/>
      <c r="D17" s="181"/>
      <c r="E17" s="181"/>
    </row>
    <row r="18" spans="2:11">
      <c r="B18" s="5"/>
    </row>
    <row r="19" spans="2:11">
      <c r="B19" s="14" t="s">
        <v>10</v>
      </c>
      <c r="C19" s="13">
        <v>2021</v>
      </c>
      <c r="D19" s="13"/>
      <c r="E19" s="98">
        <v>2020</v>
      </c>
      <c r="G19" s="44"/>
    </row>
    <row r="20" spans="2:11">
      <c r="B20" s="14"/>
      <c r="G20" s="19"/>
    </row>
    <row r="21" spans="2:11">
      <c r="B21" s="15" t="s">
        <v>24</v>
      </c>
      <c r="C21" s="3">
        <v>118838.39999999999</v>
      </c>
      <c r="D21" s="3"/>
      <c r="E21" s="3">
        <v>1059546.03</v>
      </c>
      <c r="F21" s="24">
        <f>+C21-E21</f>
        <v>-940707.63</v>
      </c>
      <c r="G21" s="45"/>
    </row>
    <row r="22" spans="2:11">
      <c r="B22" s="15" t="s">
        <v>25</v>
      </c>
      <c r="C22" s="3">
        <v>72974.070000000007</v>
      </c>
      <c r="D22" s="3"/>
      <c r="E22" s="3">
        <v>21300</v>
      </c>
      <c r="F22" s="24">
        <f t="shared" ref="F22:F33" si="0">+C22-E22</f>
        <v>51674.070000000007</v>
      </c>
      <c r="G22" s="45"/>
    </row>
    <row r="23" spans="2:11">
      <c r="B23" s="15" t="s">
        <v>39</v>
      </c>
      <c r="C23" s="3">
        <v>896250.03</v>
      </c>
      <c r="D23" s="3"/>
      <c r="E23" s="3">
        <v>322119.88</v>
      </c>
      <c r="F23" s="24">
        <f t="shared" si="0"/>
        <v>574130.15</v>
      </c>
      <c r="G23" s="45"/>
    </row>
    <row r="24" spans="2:11">
      <c r="B24" s="15" t="s">
        <v>44</v>
      </c>
      <c r="C24" s="3">
        <v>260895.72</v>
      </c>
      <c r="D24" s="3"/>
      <c r="E24" s="3">
        <v>75202.81</v>
      </c>
      <c r="F24" s="24">
        <f t="shared" si="0"/>
        <v>185692.91</v>
      </c>
      <c r="G24" s="45"/>
    </row>
    <row r="25" spans="2:11">
      <c r="B25" s="15" t="s">
        <v>185</v>
      </c>
      <c r="C25" s="3"/>
      <c r="D25" s="3"/>
      <c r="E25" s="3">
        <v>28728.66</v>
      </c>
      <c r="F25" s="24">
        <f t="shared" si="0"/>
        <v>-28728.66</v>
      </c>
      <c r="G25" s="45"/>
    </row>
    <row r="26" spans="2:11">
      <c r="B26" s="15" t="s">
        <v>186</v>
      </c>
      <c r="C26" s="3"/>
      <c r="D26" s="3"/>
      <c r="E26" s="3">
        <v>24673.06</v>
      </c>
      <c r="F26" s="24">
        <f t="shared" si="0"/>
        <v>-24673.06</v>
      </c>
      <c r="G26" s="45"/>
    </row>
    <row r="27" spans="2:11">
      <c r="B27" s="15" t="s">
        <v>40</v>
      </c>
      <c r="C27" s="3">
        <v>1098114.58</v>
      </c>
      <c r="D27" s="3"/>
      <c r="E27" s="3">
        <v>1098114.58</v>
      </c>
      <c r="F27" s="24">
        <f t="shared" si="0"/>
        <v>0</v>
      </c>
      <c r="G27" s="45"/>
      <c r="H27" s="3"/>
      <c r="I27" s="3"/>
      <c r="J27" s="3"/>
      <c r="K27" s="38"/>
    </row>
    <row r="28" spans="2:11">
      <c r="B28" s="15" t="s">
        <v>26</v>
      </c>
      <c r="C28" s="3">
        <v>204</v>
      </c>
      <c r="D28" s="3"/>
      <c r="E28" s="3"/>
      <c r="F28" s="24">
        <f t="shared" si="0"/>
        <v>204</v>
      </c>
      <c r="G28" s="45"/>
    </row>
    <row r="29" spans="2:11">
      <c r="B29" s="15" t="s">
        <v>28</v>
      </c>
      <c r="C29" s="3">
        <v>86440.12</v>
      </c>
      <c r="D29" s="3"/>
      <c r="E29" s="3">
        <v>166321.68</v>
      </c>
      <c r="F29" s="24">
        <f t="shared" si="0"/>
        <v>-79881.56</v>
      </c>
      <c r="G29" s="45"/>
    </row>
    <row r="30" spans="2:11">
      <c r="B30" s="15" t="s">
        <v>184</v>
      </c>
      <c r="C30" s="3">
        <v>31500</v>
      </c>
      <c r="D30" s="3"/>
      <c r="E30" s="3">
        <v>12374245.43</v>
      </c>
      <c r="F30" s="24">
        <f t="shared" si="0"/>
        <v>-12342745.43</v>
      </c>
      <c r="G30" s="45"/>
    </row>
    <row r="31" spans="2:11">
      <c r="B31" s="15" t="s">
        <v>78</v>
      </c>
      <c r="C31" s="3">
        <v>1313.72</v>
      </c>
      <c r="D31" s="3"/>
      <c r="E31" s="3">
        <v>1313.72</v>
      </c>
      <c r="F31" s="24">
        <f t="shared" si="0"/>
        <v>0</v>
      </c>
      <c r="G31" s="45"/>
    </row>
    <row r="32" spans="2:11">
      <c r="B32" s="15" t="s">
        <v>161</v>
      </c>
      <c r="C32" s="12">
        <v>8450</v>
      </c>
      <c r="D32" s="3"/>
      <c r="E32" s="12">
        <v>58950</v>
      </c>
      <c r="F32" s="24">
        <f t="shared" si="0"/>
        <v>-50500</v>
      </c>
      <c r="G32" s="45"/>
    </row>
    <row r="33" spans="2:8" ht="17.25" customHeight="1" thickBot="1">
      <c r="B33" s="14" t="s">
        <v>1</v>
      </c>
      <c r="C33" s="7">
        <f>SUM(C21:C32)</f>
        <v>2574980.64</v>
      </c>
      <c r="D33" s="9"/>
      <c r="E33" s="41">
        <f>E21+E22+E23+E24+E27+E28+E29+E31+E30+E25+E26+E32</f>
        <v>15230515.850000001</v>
      </c>
      <c r="F33" s="24">
        <f t="shared" si="0"/>
        <v>-12655535.210000001</v>
      </c>
      <c r="G33" s="45"/>
      <c r="H33" s="36"/>
    </row>
    <row r="34" spans="2:8" ht="15.75" thickTop="1">
      <c r="D34" s="10"/>
      <c r="G34" s="19"/>
    </row>
    <row r="35" spans="2:8" ht="33.75" hidden="1" customHeight="1">
      <c r="B35" s="181"/>
      <c r="C35" s="181"/>
      <c r="D35" s="181"/>
      <c r="E35" s="181"/>
    </row>
  </sheetData>
  <mergeCells count="5">
    <mergeCell ref="B35:E35"/>
    <mergeCell ref="B9:E9"/>
    <mergeCell ref="B10:E10"/>
    <mergeCell ref="B11:E11"/>
    <mergeCell ref="B14:E17"/>
  </mergeCells>
  <phoneticPr fontId="6" type="noConversion"/>
  <printOptions horizontalCentered="1"/>
  <pageMargins left="0.27559055118110237" right="0.19685039370078741" top="0.27559055118110237" bottom="0.27559055118110237" header="0.23622047244094491"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topLeftCell="A7" workbookViewId="0">
      <selection activeCell="I20" sqref="I20"/>
    </sheetView>
  </sheetViews>
  <sheetFormatPr baseColWidth="10" defaultRowHeight="15"/>
  <cols>
    <col min="1" max="1" width="42.25" customWidth="1"/>
    <col min="2" max="2" width="13.75" customWidth="1"/>
    <col min="3" max="3" width="0.625" customWidth="1"/>
    <col min="4" max="4" width="13.375" customWidth="1"/>
    <col min="5" max="5" width="17.75" customWidth="1"/>
  </cols>
  <sheetData>
    <row r="2" spans="1:4">
      <c r="A2" s="1"/>
      <c r="B2" s="1"/>
    </row>
    <row r="3" spans="1:4">
      <c r="A3" s="1"/>
      <c r="B3" s="1"/>
    </row>
    <row r="4" spans="1:4">
      <c r="A4" s="1"/>
      <c r="B4" s="1"/>
    </row>
    <row r="5" spans="1:4">
      <c r="A5" s="1"/>
      <c r="B5" s="1"/>
    </row>
    <row r="6" spans="1:4">
      <c r="A6" s="40"/>
      <c r="B6" s="1"/>
    </row>
    <row r="7" spans="1:4">
      <c r="A7" s="1"/>
      <c r="B7" s="1"/>
    </row>
    <row r="8" spans="1:4">
      <c r="A8" s="1"/>
      <c r="B8" s="1"/>
    </row>
    <row r="9" spans="1:4" ht="15.75">
      <c r="A9" s="178" t="s">
        <v>129</v>
      </c>
      <c r="B9" s="178"/>
      <c r="C9" s="178"/>
      <c r="D9" s="178"/>
    </row>
    <row r="10" spans="1:4">
      <c r="A10" s="179" t="s">
        <v>201</v>
      </c>
      <c r="B10" s="179"/>
      <c r="C10" s="179"/>
      <c r="D10" s="179"/>
    </row>
    <row r="11" spans="1:4">
      <c r="A11" s="179" t="s">
        <v>71</v>
      </c>
      <c r="B11" s="179"/>
      <c r="C11" s="179"/>
      <c r="D11" s="179"/>
    </row>
    <row r="12" spans="1:4">
      <c r="A12" s="31"/>
      <c r="B12" s="31"/>
      <c r="C12" s="31"/>
      <c r="D12" s="31"/>
    </row>
    <row r="13" spans="1:4">
      <c r="A13" s="31"/>
      <c r="B13" s="31"/>
      <c r="C13" s="31"/>
      <c r="D13" s="31"/>
    </row>
    <row r="14" spans="1:4" ht="15.75">
      <c r="A14" s="90" t="s">
        <v>69</v>
      </c>
      <c r="B14" s="1"/>
    </row>
    <row r="15" spans="1:4">
      <c r="A15" s="5"/>
      <c r="B15" s="1"/>
    </row>
    <row r="16" spans="1:4" ht="10.5" customHeight="1">
      <c r="A16" s="187" t="s">
        <v>218</v>
      </c>
      <c r="B16" s="187"/>
      <c r="C16" s="187"/>
      <c r="D16" s="187"/>
    </row>
    <row r="17" spans="1:6" ht="6" customHeight="1">
      <c r="A17" s="187"/>
      <c r="B17" s="187"/>
      <c r="C17" s="187"/>
      <c r="D17" s="187"/>
    </row>
    <row r="18" spans="1:6">
      <c r="A18" s="187"/>
      <c r="B18" s="187"/>
      <c r="C18" s="187"/>
      <c r="D18" s="187"/>
    </row>
    <row r="19" spans="1:6">
      <c r="A19" s="187"/>
      <c r="B19" s="187"/>
      <c r="C19" s="187"/>
      <c r="D19" s="187"/>
    </row>
    <row r="20" spans="1:6" ht="47.25" customHeight="1">
      <c r="A20" s="187"/>
      <c r="B20" s="187"/>
      <c r="C20" s="187"/>
      <c r="D20" s="187"/>
    </row>
    <row r="21" spans="1:6" ht="16.5">
      <c r="A21" s="69"/>
      <c r="B21" s="69"/>
      <c r="C21" s="69"/>
      <c r="D21" s="69"/>
    </row>
    <row r="22" spans="1:6">
      <c r="A22" s="1"/>
      <c r="B22" s="1"/>
    </row>
    <row r="23" spans="1:6" ht="15.75">
      <c r="A23" s="61" t="s">
        <v>200</v>
      </c>
      <c r="B23" s="13">
        <v>2021</v>
      </c>
      <c r="C23" s="57"/>
      <c r="D23" s="98">
        <v>2020</v>
      </c>
    </row>
    <row r="24" spans="1:6">
      <c r="A24" s="14"/>
      <c r="B24" s="1"/>
      <c r="D24" s="1"/>
    </row>
    <row r="25" spans="1:6" ht="30.75">
      <c r="A25" s="89" t="s">
        <v>162</v>
      </c>
      <c r="B25" s="21">
        <v>223824.36</v>
      </c>
      <c r="D25" s="21">
        <v>1359779.68</v>
      </c>
      <c r="E25" s="24"/>
      <c r="F25" s="24"/>
    </row>
    <row r="26" spans="1:6">
      <c r="A26" s="15"/>
      <c r="B26" s="20"/>
      <c r="D26" s="20"/>
      <c r="E26" s="24"/>
      <c r="F26" s="24"/>
    </row>
    <row r="27" spans="1:6" ht="16.5" thickBot="1">
      <c r="A27" s="61" t="s">
        <v>1</v>
      </c>
      <c r="B27" s="7">
        <f>B25</f>
        <v>223824.36</v>
      </c>
      <c r="C27" s="9"/>
      <c r="D27" s="79">
        <f>D25</f>
        <v>1359779.68</v>
      </c>
      <c r="E27" s="46"/>
      <c r="F27" s="24"/>
    </row>
    <row r="28" spans="1:6" ht="28.5" customHeight="1" thickTop="1">
      <c r="A28" s="1"/>
      <c r="B28" s="1"/>
      <c r="C28" s="1"/>
      <c r="E28" s="38"/>
    </row>
    <row r="29" spans="1:6" ht="11.25" hidden="1" customHeight="1">
      <c r="A29" s="189"/>
      <c r="B29" s="189"/>
      <c r="C29" s="189"/>
      <c r="D29" s="189"/>
      <c r="E29" s="52"/>
    </row>
    <row r="30" spans="1:6" ht="15" hidden="1" customHeight="1">
      <c r="A30" s="189"/>
      <c r="B30" s="189"/>
      <c r="C30" s="189"/>
      <c r="D30" s="189"/>
      <c r="E30" s="52"/>
    </row>
    <row r="31" spans="1:6" ht="15" hidden="1" customHeight="1">
      <c r="A31" s="189"/>
      <c r="B31" s="189"/>
      <c r="C31" s="189"/>
      <c r="D31" s="189"/>
      <c r="E31" s="52"/>
    </row>
  </sheetData>
  <mergeCells count="5">
    <mergeCell ref="A9:D9"/>
    <mergeCell ref="A10:D10"/>
    <mergeCell ref="A11:D11"/>
    <mergeCell ref="A29:D31"/>
    <mergeCell ref="A16:D20"/>
  </mergeCells>
  <pageMargins left="0.70866141732283472" right="0.70866141732283472" top="0.74803149606299213" bottom="0.74803149606299213" header="0.31496062992125984" footer="0.31496062992125984"/>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30"/>
  <sheetViews>
    <sheetView topLeftCell="A7" workbookViewId="0">
      <selection activeCell="A21" sqref="A21"/>
    </sheetView>
  </sheetViews>
  <sheetFormatPr baseColWidth="10" defaultRowHeight="15"/>
  <cols>
    <col min="1" max="1" width="31" customWidth="1"/>
    <col min="2" max="2" width="15.25" customWidth="1"/>
    <col min="3" max="3" width="0.625" customWidth="1"/>
    <col min="4" max="4" width="14.875" customWidth="1"/>
  </cols>
  <sheetData>
    <row r="7" spans="1:6">
      <c r="A7" s="1"/>
      <c r="B7" s="1"/>
    </row>
    <row r="8" spans="1:6">
      <c r="A8" s="1"/>
      <c r="B8" s="1"/>
    </row>
    <row r="9" spans="1:6" ht="15.75">
      <c r="A9" s="178" t="s">
        <v>136</v>
      </c>
      <c r="B9" s="178"/>
      <c r="C9" s="178"/>
      <c r="D9" s="178"/>
    </row>
    <row r="10" spans="1:6">
      <c r="A10" s="179" t="s">
        <v>201</v>
      </c>
      <c r="B10" s="179"/>
      <c r="C10" s="179"/>
      <c r="D10" s="179"/>
    </row>
    <row r="11" spans="1:6">
      <c r="A11" s="179" t="s">
        <v>71</v>
      </c>
      <c r="B11" s="179"/>
      <c r="C11" s="179"/>
      <c r="D11" s="179"/>
    </row>
    <row r="12" spans="1:6">
      <c r="A12" s="31"/>
      <c r="B12" s="31"/>
      <c r="C12" s="31"/>
      <c r="D12" s="31"/>
    </row>
    <row r="13" spans="1:6">
      <c r="A13" s="31"/>
      <c r="B13" s="31"/>
      <c r="C13" s="31"/>
      <c r="D13" s="31"/>
    </row>
    <row r="14" spans="1:6" ht="15.75">
      <c r="A14" s="90" t="s">
        <v>53</v>
      </c>
      <c r="B14" s="1"/>
    </row>
    <row r="15" spans="1:6">
      <c r="A15" s="1"/>
      <c r="B15" s="1"/>
    </row>
    <row r="16" spans="1:6">
      <c r="A16" s="187" t="s">
        <v>257</v>
      </c>
      <c r="B16" s="187"/>
      <c r="C16" s="187"/>
      <c r="D16" s="187"/>
      <c r="F16" s="80"/>
    </row>
    <row r="17" spans="1:5" ht="10.5" customHeight="1">
      <c r="A17" s="187"/>
      <c r="B17" s="187"/>
      <c r="C17" s="187"/>
      <c r="D17" s="187"/>
    </row>
    <row r="18" spans="1:5" ht="4.5" customHeight="1">
      <c r="A18" s="187"/>
      <c r="B18" s="187"/>
      <c r="C18" s="187"/>
      <c r="D18" s="187"/>
    </row>
    <row r="19" spans="1:5" ht="45.75" customHeight="1">
      <c r="A19" s="187"/>
      <c r="B19" s="187"/>
      <c r="C19" s="187"/>
      <c r="D19" s="187"/>
    </row>
    <row r="20" spans="1:5" ht="26.25" customHeight="1">
      <c r="A20" s="187"/>
      <c r="B20" s="187"/>
      <c r="C20" s="187"/>
      <c r="D20" s="187"/>
    </row>
    <row r="21" spans="1:5">
      <c r="A21" s="1"/>
      <c r="B21" s="1"/>
    </row>
    <row r="22" spans="1:5">
      <c r="A22" s="1"/>
      <c r="B22" s="1"/>
    </row>
    <row r="23" spans="1:5">
      <c r="A23" s="1"/>
      <c r="B23" s="1"/>
    </row>
    <row r="24" spans="1:5" ht="15.75">
      <c r="A24" s="61" t="s">
        <v>200</v>
      </c>
      <c r="B24" s="86">
        <v>2021</v>
      </c>
      <c r="C24" s="92"/>
      <c r="D24" s="86">
        <v>2020</v>
      </c>
    </row>
    <row r="25" spans="1:5" ht="15.75">
      <c r="A25" s="61"/>
      <c r="B25" s="91"/>
      <c r="C25" s="63"/>
      <c r="D25" s="91"/>
    </row>
    <row r="26" spans="1:5" ht="15" customHeight="1">
      <c r="A26" s="15" t="s">
        <v>212</v>
      </c>
      <c r="B26" s="32">
        <v>55702.73</v>
      </c>
      <c r="D26" s="32"/>
      <c r="E26" s="24"/>
    </row>
    <row r="27" spans="1:5">
      <c r="A27" s="15"/>
      <c r="B27" s="8"/>
      <c r="D27" s="8"/>
      <c r="E27" s="24"/>
    </row>
    <row r="28" spans="1:5" ht="16.5" thickBot="1">
      <c r="A28" s="61" t="s">
        <v>1</v>
      </c>
      <c r="B28" s="7">
        <f>SUM(B26:B26)</f>
        <v>55702.73</v>
      </c>
      <c r="C28" s="46"/>
      <c r="D28" s="41">
        <f>SUM(D26:D26)</f>
        <v>0</v>
      </c>
      <c r="E28" s="24"/>
    </row>
    <row r="29" spans="1:5" ht="15.75" thickTop="1">
      <c r="A29" s="15"/>
      <c r="B29" s="8"/>
      <c r="D29" s="8"/>
      <c r="E29" s="24"/>
    </row>
    <row r="30" spans="1:5">
      <c r="A30" s="15"/>
      <c r="B30" s="8"/>
      <c r="D30" s="8"/>
      <c r="E30" s="24"/>
    </row>
  </sheetData>
  <mergeCells count="4">
    <mergeCell ref="A9:D9"/>
    <mergeCell ref="A10:D10"/>
    <mergeCell ref="A11:D11"/>
    <mergeCell ref="A16:D20"/>
  </mergeCells>
  <printOptions horizontalCentered="1"/>
  <pageMargins left="0.70866141732283472" right="0.70866141732283472" top="0.74803149606299213" bottom="0.74803149606299213" header="0.31496062992125984" footer="0.31496062992125984"/>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4"/>
  <sheetViews>
    <sheetView topLeftCell="A4" workbookViewId="0">
      <selection activeCell="B17" sqref="B17"/>
    </sheetView>
  </sheetViews>
  <sheetFormatPr baseColWidth="10" defaultRowHeight="15"/>
  <cols>
    <col min="1" max="1" width="2.375" customWidth="1"/>
    <col min="2" max="2" width="35.125" customWidth="1"/>
    <col min="3" max="3" width="16.125" customWidth="1"/>
    <col min="4" max="4" width="1.125" customWidth="1"/>
    <col min="5" max="5" width="18.75" customWidth="1"/>
    <col min="6" max="6" width="17.75" hidden="1" customWidth="1"/>
    <col min="7" max="7" width="14.875" customWidth="1"/>
    <col min="8" max="8" width="17.75" bestFit="1" customWidth="1"/>
    <col min="9" max="9" width="14.75" bestFit="1" customWidth="1"/>
  </cols>
  <sheetData>
    <row r="1" spans="2:9">
      <c r="B1" s="1"/>
      <c r="C1" s="1"/>
    </row>
    <row r="2" spans="2:9">
      <c r="B2" s="1"/>
      <c r="C2" s="1"/>
    </row>
    <row r="3" spans="2:9">
      <c r="B3" s="1"/>
      <c r="C3" s="1"/>
    </row>
    <row r="4" spans="2:9">
      <c r="B4" s="1"/>
      <c r="C4" s="1"/>
    </row>
    <row r="5" spans="2:9" ht="24.75" customHeight="1">
      <c r="B5" s="1"/>
      <c r="C5" s="1"/>
    </row>
    <row r="6" spans="2:9" ht="9.75" customHeight="1">
      <c r="B6" s="1"/>
      <c r="C6" s="1"/>
    </row>
    <row r="7" spans="2:9" ht="15.75">
      <c r="B7" s="178" t="s">
        <v>89</v>
      </c>
      <c r="C7" s="178"/>
      <c r="D7" s="178"/>
      <c r="E7" s="178"/>
      <c r="F7" s="63"/>
    </row>
    <row r="8" spans="2:9">
      <c r="B8" s="179" t="s">
        <v>201</v>
      </c>
      <c r="C8" s="179"/>
      <c r="D8" s="179"/>
      <c r="E8" s="179"/>
    </row>
    <row r="9" spans="2:9">
      <c r="B9" s="179" t="s">
        <v>71</v>
      </c>
      <c r="C9" s="179"/>
      <c r="D9" s="179"/>
      <c r="E9" s="179"/>
    </row>
    <row r="10" spans="2:9">
      <c r="B10" s="31"/>
      <c r="C10" s="31"/>
      <c r="D10" s="31"/>
      <c r="E10" s="31"/>
    </row>
    <row r="11" spans="2:9" ht="15" customHeight="1">
      <c r="B11" s="5" t="s">
        <v>56</v>
      </c>
      <c r="C11" s="1"/>
    </row>
    <row r="12" spans="2:9" ht="15" customHeight="1">
      <c r="B12" s="5"/>
      <c r="C12" s="1"/>
    </row>
    <row r="13" spans="2:9" ht="44.25" customHeight="1">
      <c r="B13" s="187" t="s">
        <v>239</v>
      </c>
      <c r="C13" s="187"/>
      <c r="D13" s="187"/>
      <c r="E13" s="187"/>
      <c r="F13" s="20"/>
      <c r="I13" s="36"/>
    </row>
    <row r="14" spans="2:9" ht="42.75" customHeight="1">
      <c r="B14" s="187"/>
      <c r="C14" s="187"/>
      <c r="D14" s="187"/>
      <c r="E14" s="187"/>
    </row>
    <row r="15" spans="2:9" ht="55.5" customHeight="1">
      <c r="B15" s="187"/>
      <c r="C15" s="187"/>
      <c r="D15" s="187"/>
      <c r="E15" s="187"/>
    </row>
    <row r="16" spans="2:9" ht="68.25" customHeight="1">
      <c r="B16" s="187"/>
      <c r="C16" s="187"/>
      <c r="D16" s="187"/>
      <c r="E16" s="187"/>
    </row>
    <row r="17" spans="2:10" ht="15" customHeight="1">
      <c r="B17" s="5"/>
      <c r="C17" s="1"/>
    </row>
    <row r="18" spans="2:10" ht="15" customHeight="1">
      <c r="B18" s="14" t="s">
        <v>10</v>
      </c>
      <c r="C18" s="13">
        <v>2021</v>
      </c>
      <c r="D18" s="57"/>
      <c r="E18" s="98">
        <v>2020</v>
      </c>
    </row>
    <row r="19" spans="2:10" ht="15" customHeight="1">
      <c r="B19" s="14"/>
      <c r="C19" s="84"/>
      <c r="D19" s="57"/>
      <c r="E19" s="98"/>
      <c r="G19" s="24"/>
    </row>
    <row r="20" spans="2:10" ht="15" customHeight="1">
      <c r="B20" s="15" t="s">
        <v>192</v>
      </c>
      <c r="C20" s="20"/>
      <c r="D20" s="57"/>
      <c r="E20" s="20">
        <v>67002.070000000007</v>
      </c>
      <c r="G20" s="24"/>
    </row>
    <row r="21" spans="2:10" ht="15" customHeight="1">
      <c r="B21" s="15" t="s">
        <v>193</v>
      </c>
      <c r="C21" s="20"/>
      <c r="D21" s="57"/>
      <c r="E21" s="20">
        <v>57527.199999999997</v>
      </c>
      <c r="G21" s="24"/>
    </row>
    <row r="22" spans="2:10" ht="15" customHeight="1">
      <c r="B22" s="15" t="s">
        <v>194</v>
      </c>
      <c r="C22" s="20"/>
      <c r="D22" s="57"/>
      <c r="E22" s="20">
        <v>9919.4</v>
      </c>
      <c r="G22" s="24"/>
    </row>
    <row r="23" spans="2:10" ht="15" customHeight="1">
      <c r="B23" s="15" t="s">
        <v>27</v>
      </c>
      <c r="C23" s="20">
        <v>929156.76</v>
      </c>
      <c r="E23" s="20">
        <v>1786756.68</v>
      </c>
      <c r="F23" s="68">
        <f>+C23-E23</f>
        <v>-857599.91999999993</v>
      </c>
      <c r="G23" s="24"/>
      <c r="I23" s="20"/>
      <c r="J23" s="68"/>
    </row>
    <row r="24" spans="2:10" ht="15" customHeight="1">
      <c r="B24" s="15" t="s">
        <v>164</v>
      </c>
      <c r="C24" s="20">
        <v>40496037.57</v>
      </c>
      <c r="E24" s="20">
        <v>34375354.789999999</v>
      </c>
      <c r="F24" s="68">
        <f t="shared" ref="F24:F29" si="0">+C24-E24</f>
        <v>6120682.7800000012</v>
      </c>
      <c r="G24" s="24"/>
      <c r="I24" s="20"/>
      <c r="J24" s="68"/>
    </row>
    <row r="25" spans="2:10" ht="15" customHeight="1">
      <c r="B25" s="15" t="s">
        <v>30</v>
      </c>
      <c r="C25" s="20">
        <v>34387198</v>
      </c>
      <c r="E25" s="20">
        <v>35246198</v>
      </c>
      <c r="F25" s="68">
        <f t="shared" si="0"/>
        <v>-859000</v>
      </c>
      <c r="G25" s="24"/>
      <c r="I25" s="20"/>
      <c r="J25" s="68"/>
    </row>
    <row r="26" spans="2:10" ht="15" customHeight="1">
      <c r="B26" s="15" t="s">
        <v>187</v>
      </c>
      <c r="C26" s="20">
        <v>3181055</v>
      </c>
      <c r="E26" s="20">
        <v>3338655</v>
      </c>
      <c r="F26" s="68">
        <f t="shared" si="0"/>
        <v>-157600</v>
      </c>
      <c r="G26" s="24"/>
      <c r="I26" s="20"/>
      <c r="J26" s="68"/>
    </row>
    <row r="27" spans="2:10" ht="15" customHeight="1">
      <c r="B27" s="15" t="s">
        <v>163</v>
      </c>
      <c r="C27" s="20">
        <v>1004137.18</v>
      </c>
      <c r="E27" s="20">
        <v>713631.15</v>
      </c>
      <c r="F27" s="68">
        <f t="shared" si="0"/>
        <v>290506.03000000003</v>
      </c>
      <c r="G27" s="24"/>
      <c r="I27" s="20"/>
      <c r="J27" s="68"/>
    </row>
    <row r="28" spans="2:10" ht="15" customHeight="1">
      <c r="B28" s="15" t="s">
        <v>45</v>
      </c>
      <c r="C28" s="20">
        <v>268987.09999999998</v>
      </c>
      <c r="E28" s="20">
        <v>293987.09999999998</v>
      </c>
      <c r="F28" s="68">
        <f t="shared" si="0"/>
        <v>-25000</v>
      </c>
      <c r="G28" s="24"/>
      <c r="I28" s="20"/>
      <c r="J28" s="68"/>
    </row>
    <row r="29" spans="2:10" ht="15" customHeight="1">
      <c r="B29" s="15" t="s">
        <v>31</v>
      </c>
      <c r="C29" s="21">
        <v>12303608.82</v>
      </c>
      <c r="E29" s="21">
        <v>14236781.75</v>
      </c>
      <c r="F29" s="68">
        <f t="shared" si="0"/>
        <v>-1933172.9299999997</v>
      </c>
      <c r="G29" s="24"/>
      <c r="H29" s="24"/>
      <c r="I29" s="20"/>
      <c r="J29" s="68"/>
    </row>
    <row r="30" spans="2:10" ht="18" customHeight="1" thickBot="1">
      <c r="B30" s="14" t="s">
        <v>1</v>
      </c>
      <c r="C30" s="41">
        <f>+C23+C24+C25+C26+C27+C28+C29+C22+C21+C20</f>
        <v>92570180.430000007</v>
      </c>
      <c r="E30" s="41">
        <f>SUM(E20:E29)</f>
        <v>90125813.140000001</v>
      </c>
      <c r="F30" s="68"/>
      <c r="G30" s="24"/>
      <c r="H30" s="19"/>
      <c r="I30" s="46"/>
      <c r="J30" s="72"/>
    </row>
    <row r="31" spans="2:10" ht="19.5" customHeight="1" thickTop="1">
      <c r="F31" s="24"/>
      <c r="G31" s="24">
        <f t="shared" ref="G31" si="1">+C31+E31</f>
        <v>0</v>
      </c>
      <c r="H31" s="19"/>
      <c r="I31" s="19"/>
      <c r="J31" s="19"/>
    </row>
    <row r="32" spans="2:10" ht="18.75" customHeight="1"/>
    <row r="33" ht="14.2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4">
    <mergeCell ref="B7:E7"/>
    <mergeCell ref="B8:E8"/>
    <mergeCell ref="B9:E9"/>
    <mergeCell ref="B13:E16"/>
  </mergeCells>
  <phoneticPr fontId="6" type="noConversion"/>
  <printOptions horizontalCentered="1"/>
  <pageMargins left="0.39370078740157483" right="0.31496062992125984" top="0.55118110236220474" bottom="0.27559055118110237" header="0.51181102362204722"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7" zoomScaleSheetLayoutView="90" workbookViewId="0">
      <selection activeCell="A22" sqref="A22"/>
    </sheetView>
  </sheetViews>
  <sheetFormatPr baseColWidth="10" defaultRowHeight="15"/>
  <cols>
    <col min="1" max="1" width="43.375" customWidth="1"/>
    <col min="2" max="2" width="17.375" customWidth="1"/>
    <col min="3" max="3" width="1.25" customWidth="1"/>
    <col min="4" max="4" width="18.625" customWidth="1"/>
    <col min="5" max="5" width="18.75" bestFit="1" customWidth="1"/>
    <col min="6" max="6" width="14.875" bestFit="1" customWidth="1"/>
    <col min="7" max="7" width="17.375" customWidth="1"/>
    <col min="8" max="8" width="14.875" bestFit="1" customWidth="1"/>
    <col min="11" max="11" width="14.375" bestFit="1" customWidth="1"/>
  </cols>
  <sheetData>
    <row r="1" spans="1:10">
      <c r="A1" s="1"/>
      <c r="B1" s="1"/>
    </row>
    <row r="2" spans="1:10">
      <c r="A2" s="1"/>
      <c r="B2" s="1"/>
    </row>
    <row r="3" spans="1:10">
      <c r="A3" s="1"/>
      <c r="B3" s="1"/>
    </row>
    <row r="4" spans="1:10">
      <c r="A4" s="1"/>
      <c r="B4" s="1"/>
      <c r="F4" s="113"/>
      <c r="G4" s="113"/>
      <c r="H4" s="113"/>
      <c r="I4" s="113"/>
      <c r="J4" s="113"/>
    </row>
    <row r="5" spans="1:10">
      <c r="A5" s="1"/>
      <c r="B5" s="1"/>
      <c r="F5" s="113"/>
      <c r="G5" s="113"/>
      <c r="H5" s="113"/>
      <c r="I5" s="113"/>
      <c r="J5" s="113"/>
    </row>
    <row r="6" spans="1:10">
      <c r="A6" s="1"/>
      <c r="B6" s="1"/>
      <c r="F6" s="113"/>
      <c r="G6" s="113"/>
      <c r="H6" s="113"/>
      <c r="I6" s="113"/>
      <c r="J6" s="113"/>
    </row>
    <row r="7" spans="1:10" ht="15" customHeight="1">
      <c r="A7" s="178" t="s">
        <v>52</v>
      </c>
      <c r="B7" s="178"/>
      <c r="C7" s="178"/>
      <c r="D7" s="178"/>
      <c r="F7" s="190"/>
      <c r="G7" s="190"/>
      <c r="H7" s="190"/>
      <c r="I7" s="190"/>
      <c r="J7" s="190"/>
    </row>
    <row r="8" spans="1:10" ht="15" customHeight="1">
      <c r="A8" s="179" t="s">
        <v>201</v>
      </c>
      <c r="B8" s="179"/>
      <c r="C8" s="179"/>
      <c r="D8" s="179"/>
      <c r="F8" s="190"/>
      <c r="G8" s="190"/>
      <c r="H8" s="190"/>
      <c r="I8" s="190"/>
      <c r="J8" s="190"/>
    </row>
    <row r="9" spans="1:10" ht="15" customHeight="1">
      <c r="A9" s="179" t="s">
        <v>71</v>
      </c>
      <c r="B9" s="179"/>
      <c r="C9" s="179"/>
      <c r="D9" s="179"/>
      <c r="F9" s="190"/>
      <c r="G9" s="190"/>
      <c r="H9" s="190"/>
      <c r="I9" s="190"/>
      <c r="J9" s="190"/>
    </row>
    <row r="10" spans="1:10" ht="15" customHeight="1">
      <c r="A10" s="1"/>
      <c r="B10" s="1"/>
      <c r="F10" s="190"/>
      <c r="G10" s="190"/>
      <c r="H10" s="190"/>
      <c r="I10" s="190"/>
      <c r="J10" s="190"/>
    </row>
    <row r="11" spans="1:10" ht="15" customHeight="1">
      <c r="A11" s="5" t="s">
        <v>120</v>
      </c>
      <c r="B11" s="1"/>
    </row>
    <row r="12" spans="1:10" ht="15" customHeight="1">
      <c r="A12" s="1"/>
      <c r="B12" s="1"/>
      <c r="D12" s="1"/>
    </row>
    <row r="13" spans="1:10" ht="15" customHeight="1">
      <c r="A13" s="14" t="s">
        <v>10</v>
      </c>
      <c r="B13" s="13">
        <v>2021</v>
      </c>
      <c r="C13" s="25"/>
      <c r="D13" s="98">
        <v>2020</v>
      </c>
    </row>
    <row r="14" spans="1:10" ht="15" customHeight="1">
      <c r="A14" s="14"/>
      <c r="B14" s="1"/>
      <c r="D14" s="1"/>
    </row>
    <row r="15" spans="1:10" ht="15" customHeight="1">
      <c r="A15" s="15" t="s">
        <v>79</v>
      </c>
      <c r="B15" s="2">
        <v>399327911.11000001</v>
      </c>
      <c r="D15" s="2">
        <v>399327911.11000001</v>
      </c>
      <c r="E15" s="36"/>
    </row>
    <row r="16" spans="1:10" ht="15" customHeight="1">
      <c r="A16" s="15" t="s">
        <v>165</v>
      </c>
      <c r="B16" s="2">
        <v>126695842.78</v>
      </c>
      <c r="C16" s="73"/>
      <c r="D16" s="2">
        <v>126695842.78</v>
      </c>
    </row>
    <row r="17" spans="1:11" ht="15" customHeight="1">
      <c r="A17" s="15" t="s">
        <v>166</v>
      </c>
      <c r="B17" s="6">
        <v>763200</v>
      </c>
      <c r="C17" s="73"/>
      <c r="D17" s="6">
        <v>763200</v>
      </c>
    </row>
    <row r="18" spans="1:11" ht="15" customHeight="1">
      <c r="A18" s="14" t="s">
        <v>93</v>
      </c>
      <c r="B18" s="26">
        <f>SUM(B15:B17)</f>
        <v>526786953.88999999</v>
      </c>
      <c r="C18" s="19"/>
      <c r="D18" s="26">
        <f>SUM(D15:D17)</f>
        <v>526786953.88999999</v>
      </c>
    </row>
    <row r="19" spans="1:11" ht="15" customHeight="1">
      <c r="A19" s="14"/>
      <c r="B19" s="26"/>
      <c r="C19" s="19"/>
      <c r="D19" s="26"/>
    </row>
    <row r="20" spans="1:11" ht="42.75" customHeight="1">
      <c r="A20" s="14" t="s">
        <v>128</v>
      </c>
      <c r="B20" s="17">
        <v>-29382893.649999999</v>
      </c>
      <c r="C20" s="16"/>
      <c r="D20" s="17">
        <v>-8545318.4100000001</v>
      </c>
      <c r="G20" s="25"/>
    </row>
    <row r="21" spans="1:11" ht="21" customHeight="1">
      <c r="A21" s="14" t="s">
        <v>181</v>
      </c>
      <c r="B21" s="17">
        <f>45076242.47-415953.65</f>
        <v>44660288.82</v>
      </c>
      <c r="C21" s="16"/>
      <c r="D21" s="17">
        <v>53205607.229999997</v>
      </c>
      <c r="G21" s="36"/>
      <c r="H21" s="73"/>
    </row>
    <row r="22" spans="1:11" ht="21" customHeight="1">
      <c r="A22" s="15" t="s">
        <v>263</v>
      </c>
      <c r="B22" s="17">
        <v>415953.65</v>
      </c>
      <c r="C22" s="16"/>
      <c r="D22" s="17"/>
      <c r="G22" s="36"/>
      <c r="H22" s="73"/>
    </row>
    <row r="23" spans="1:11" ht="21" customHeight="1" thickBot="1">
      <c r="A23" s="14" t="s">
        <v>94</v>
      </c>
      <c r="B23" s="11">
        <f>+B20+B21+B18+B22</f>
        <v>542480302.70999992</v>
      </c>
      <c r="D23" s="11">
        <f>+D20+D21+D18</f>
        <v>571447242.71000004</v>
      </c>
      <c r="H23" s="117"/>
    </row>
    <row r="24" spans="1:11" ht="21" customHeight="1" thickTop="1">
      <c r="A24" s="140"/>
      <c r="B24" s="151"/>
      <c r="C24" s="113"/>
      <c r="D24" s="151"/>
      <c r="H24" s="117"/>
    </row>
    <row r="25" spans="1:11" ht="22.5" customHeight="1">
      <c r="A25" s="152" t="s">
        <v>159</v>
      </c>
      <c r="B25" s="153">
        <v>2021</v>
      </c>
      <c r="C25" s="112"/>
      <c r="D25" s="153">
        <v>2020</v>
      </c>
      <c r="H25" s="117"/>
    </row>
    <row r="26" spans="1:11" ht="18.75" customHeight="1">
      <c r="A26" s="154" t="s">
        <v>133</v>
      </c>
      <c r="B26" s="155">
        <v>526786953.88999999</v>
      </c>
      <c r="C26" s="156"/>
      <c r="D26" s="155">
        <v>526786953.88999999</v>
      </c>
      <c r="H26" s="117"/>
    </row>
    <row r="27" spans="1:11" ht="18" customHeight="1">
      <c r="A27" s="154" t="s">
        <v>134</v>
      </c>
      <c r="B27" s="155">
        <v>-29382893.649999999</v>
      </c>
      <c r="C27" s="112"/>
      <c r="D27" s="155">
        <v>-8545318.4100000001</v>
      </c>
      <c r="H27" s="67"/>
      <c r="K27" s="24"/>
    </row>
    <row r="28" spans="1:11" ht="18" customHeight="1">
      <c r="A28" s="156" t="s">
        <v>182</v>
      </c>
      <c r="B28" s="155">
        <v>44660288.82</v>
      </c>
      <c r="C28" s="112"/>
      <c r="D28" s="155">
        <v>53205607.229999997</v>
      </c>
    </row>
    <row r="29" spans="1:11" ht="18" customHeight="1">
      <c r="A29" s="15" t="s">
        <v>263</v>
      </c>
      <c r="B29" s="155">
        <v>415953.65</v>
      </c>
      <c r="C29" s="112"/>
      <c r="D29" s="155"/>
    </row>
    <row r="30" spans="1:11" ht="25.5" customHeight="1" thickBot="1">
      <c r="A30" s="125" t="s">
        <v>135</v>
      </c>
      <c r="B30" s="157">
        <f>B26+B27+B28+B29</f>
        <v>542480302.71000004</v>
      </c>
      <c r="C30" s="125"/>
      <c r="D30" s="157">
        <f>SUM(D26:D28)</f>
        <v>571447242.70999992</v>
      </c>
    </row>
    <row r="31" spans="1:11" ht="16.5" thickTop="1">
      <c r="A31" s="187"/>
      <c r="B31" s="187"/>
      <c r="C31" s="187"/>
      <c r="D31" s="187"/>
    </row>
  </sheetData>
  <mergeCells count="5">
    <mergeCell ref="A31:D31"/>
    <mergeCell ref="A7:D7"/>
    <mergeCell ref="A8:D8"/>
    <mergeCell ref="A9:D9"/>
    <mergeCell ref="F7:J10"/>
  </mergeCells>
  <phoneticPr fontId="6" type="noConversion"/>
  <printOptions horizontalCentered="1"/>
  <pageMargins left="0.43307086614173229" right="0.43307086614173229" top="0.86614173228346458" bottom="0.27559055118110237" header="0.82677165354330717" footer="0"/>
  <pageSetup orientation="portrait" r:id="rId1"/>
  <headerFooter alignWithMargins="0"/>
  <ignoredErrors>
    <ignoredError sqref="D30"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topLeftCell="A7" workbookViewId="0">
      <selection activeCell="G25" sqref="G25"/>
    </sheetView>
  </sheetViews>
  <sheetFormatPr baseColWidth="10" defaultRowHeight="15"/>
  <cols>
    <col min="1" max="1" width="1.375" customWidth="1"/>
    <col min="2" max="2" width="44" customWidth="1"/>
    <col min="3" max="3" width="16.125" customWidth="1"/>
    <col min="4" max="4" width="1" customWidth="1"/>
    <col min="5" max="5" width="16.375" customWidth="1"/>
    <col min="6" max="7" width="13.875" bestFit="1"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78" t="s">
        <v>112</v>
      </c>
      <c r="C8" s="178"/>
      <c r="D8" s="178"/>
      <c r="E8" s="178"/>
    </row>
    <row r="9" spans="2:5" ht="15.75">
      <c r="B9" s="43"/>
      <c r="C9" s="43"/>
      <c r="D9" s="43"/>
      <c r="E9" s="43"/>
    </row>
    <row r="10" spans="2:5">
      <c r="B10" s="179" t="s">
        <v>112</v>
      </c>
      <c r="C10" s="179"/>
      <c r="D10" s="179"/>
      <c r="E10" s="179"/>
    </row>
    <row r="11" spans="2:5">
      <c r="B11" s="179" t="s">
        <v>201</v>
      </c>
      <c r="C11" s="179"/>
      <c r="D11" s="179"/>
      <c r="E11" s="179"/>
    </row>
    <row r="12" spans="2:5">
      <c r="B12" s="31"/>
      <c r="C12" s="31"/>
    </row>
    <row r="13" spans="2:5">
      <c r="B13" s="5" t="s">
        <v>68</v>
      </c>
      <c r="C13" s="1"/>
    </row>
    <row r="14" spans="2:5">
      <c r="B14" s="5"/>
      <c r="C14" s="1"/>
    </row>
    <row r="15" spans="2:5" ht="18.75" customHeight="1">
      <c r="B15" s="187" t="s">
        <v>219</v>
      </c>
      <c r="C15" s="187"/>
      <c r="D15" s="187"/>
      <c r="E15" s="187"/>
    </row>
    <row r="16" spans="2:5" ht="21" customHeight="1">
      <c r="B16" s="187"/>
      <c r="C16" s="187"/>
      <c r="D16" s="187"/>
      <c r="E16" s="187"/>
    </row>
    <row r="17" spans="2:7" ht="20.25" customHeight="1">
      <c r="B17" s="187"/>
      <c r="C17" s="187"/>
      <c r="D17" s="187"/>
      <c r="E17" s="187"/>
    </row>
    <row r="18" spans="2:7" ht="15.75" customHeight="1">
      <c r="B18" s="187"/>
      <c r="C18" s="187"/>
      <c r="D18" s="187"/>
      <c r="E18" s="187"/>
    </row>
    <row r="19" spans="2:7" ht="29.25" customHeight="1">
      <c r="B19" s="187"/>
      <c r="C19" s="187"/>
      <c r="D19" s="187"/>
      <c r="E19" s="187"/>
    </row>
    <row r="20" spans="2:7" ht="44.25" customHeight="1">
      <c r="B20" s="187"/>
      <c r="C20" s="187"/>
      <c r="D20" s="187"/>
      <c r="E20" s="187"/>
    </row>
    <row r="21" spans="2:7" ht="14.25" customHeight="1">
      <c r="B21" s="60"/>
      <c r="C21" s="60"/>
      <c r="D21" s="60"/>
      <c r="E21" s="60"/>
    </row>
    <row r="22" spans="2:7" ht="15" customHeight="1">
      <c r="B22" s="14" t="s">
        <v>10</v>
      </c>
      <c r="C22" s="13">
        <v>2021</v>
      </c>
      <c r="D22" s="57"/>
      <c r="E22" s="98">
        <v>2020</v>
      </c>
    </row>
    <row r="23" spans="2:7" ht="15" customHeight="1">
      <c r="B23" s="14"/>
      <c r="C23" s="56"/>
      <c r="E23" s="56"/>
    </row>
    <row r="24" spans="2:7" ht="15" customHeight="1">
      <c r="B24" s="15" t="s">
        <v>167</v>
      </c>
      <c r="C24" s="56">
        <v>158090023.81</v>
      </c>
      <c r="E24" s="56">
        <v>152424903.68000001</v>
      </c>
      <c r="F24" s="24"/>
      <c r="G24" s="24"/>
    </row>
    <row r="25" spans="2:7" ht="15" customHeight="1">
      <c r="B25" s="15" t="s">
        <v>54</v>
      </c>
      <c r="C25" s="8">
        <v>61180567.439999998</v>
      </c>
      <c r="E25" s="8">
        <v>52748060.710000001</v>
      </c>
      <c r="F25" s="24"/>
      <c r="G25" s="24"/>
    </row>
    <row r="26" spans="2:7" ht="15" customHeight="1">
      <c r="B26" s="15" t="s">
        <v>55</v>
      </c>
      <c r="C26" s="6">
        <v>148653.46</v>
      </c>
      <c r="E26" s="6">
        <v>226855.44</v>
      </c>
      <c r="F26" s="24"/>
      <c r="G26" s="24"/>
    </row>
    <row r="27" spans="2:7" ht="19.5" customHeight="1" thickBot="1">
      <c r="B27" s="14" t="s">
        <v>1</v>
      </c>
      <c r="C27" s="27">
        <f>C24+C25+C26</f>
        <v>219419244.71000001</v>
      </c>
      <c r="E27" s="27">
        <f>E24+E25+E26</f>
        <v>205399819.83000001</v>
      </c>
      <c r="F27" s="24"/>
      <c r="G27" s="24"/>
    </row>
    <row r="28" spans="2:7" ht="27" customHeight="1" thickTop="1"/>
  </sheetData>
  <mergeCells count="4">
    <mergeCell ref="B8:E8"/>
    <mergeCell ref="B11:E11"/>
    <mergeCell ref="B10:E10"/>
    <mergeCell ref="B15:E20"/>
  </mergeCells>
  <printOptions horizontalCentered="1"/>
  <pageMargins left="0.31496062992125984" right="0.19685039370078741" top="0.27559055118110237" bottom="0.27559055118110237" header="0.23622047244094491" footer="0"/>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topLeftCell="B1" workbookViewId="0">
      <selection activeCell="B24" sqref="B24"/>
    </sheetView>
  </sheetViews>
  <sheetFormatPr baseColWidth="10" defaultRowHeight="15"/>
  <cols>
    <col min="1" max="1" width="1.5" customWidth="1"/>
    <col min="2" max="2" width="46.75" bestFit="1" customWidth="1"/>
    <col min="3" max="3" width="16.125" customWidth="1"/>
    <col min="4" max="4" width="1.5" customWidth="1"/>
    <col min="5" max="5" width="17.25" customWidth="1"/>
    <col min="6" max="6" width="13.875" bestFit="1" customWidth="1"/>
    <col min="7" max="7" width="14.75" customWidth="1"/>
    <col min="8" max="8" width="16.25"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78" t="s">
        <v>116</v>
      </c>
      <c r="C8" s="178"/>
      <c r="D8" s="178"/>
      <c r="E8" s="178"/>
    </row>
    <row r="9" spans="2:5" ht="15.75">
      <c r="B9" s="93"/>
      <c r="C9" s="93"/>
      <c r="D9" s="93"/>
      <c r="E9" s="93"/>
    </row>
    <row r="10" spans="2:5">
      <c r="B10" s="179" t="s">
        <v>86</v>
      </c>
      <c r="C10" s="179"/>
      <c r="D10" s="179"/>
      <c r="E10" s="179"/>
    </row>
    <row r="11" spans="2:5">
      <c r="B11" s="179" t="s">
        <v>139</v>
      </c>
      <c r="C11" s="179"/>
      <c r="D11" s="179"/>
      <c r="E11" s="179"/>
    </row>
    <row r="12" spans="2:5">
      <c r="B12" s="179" t="s">
        <v>201</v>
      </c>
      <c r="C12" s="179"/>
      <c r="D12" s="179"/>
      <c r="E12" s="179"/>
    </row>
    <row r="13" spans="2:5">
      <c r="B13" s="179" t="s">
        <v>71</v>
      </c>
      <c r="C13" s="179"/>
      <c r="D13" s="179"/>
      <c r="E13" s="179"/>
    </row>
    <row r="14" spans="2:5">
      <c r="B14" s="94"/>
      <c r="C14" s="94"/>
      <c r="D14" s="94"/>
      <c r="E14" s="94"/>
    </row>
    <row r="15" spans="2:5">
      <c r="B15" s="5" t="s">
        <v>67</v>
      </c>
      <c r="C15" s="1"/>
    </row>
    <row r="16" spans="2:5">
      <c r="B16" s="5"/>
      <c r="C16" s="1"/>
    </row>
    <row r="17" spans="2:8" ht="22.5" customHeight="1">
      <c r="B17" s="187" t="s">
        <v>220</v>
      </c>
      <c r="C17" s="187"/>
      <c r="D17" s="187"/>
      <c r="E17" s="187"/>
    </row>
    <row r="18" spans="2:8" ht="60.75" customHeight="1">
      <c r="B18" s="187"/>
      <c r="C18" s="187"/>
      <c r="D18" s="187"/>
      <c r="E18" s="187"/>
      <c r="F18" s="80"/>
    </row>
    <row r="19" spans="2:8" ht="27.75" customHeight="1">
      <c r="B19" s="95"/>
      <c r="C19" s="95"/>
      <c r="D19" s="95"/>
      <c r="E19" s="95"/>
      <c r="F19" s="80"/>
    </row>
    <row r="20" spans="2:8">
      <c r="B20" s="5"/>
      <c r="C20" s="1"/>
    </row>
    <row r="21" spans="2:8" ht="15" customHeight="1">
      <c r="B21" s="14" t="s">
        <v>10</v>
      </c>
      <c r="C21" s="96">
        <v>2021</v>
      </c>
      <c r="D21" s="57"/>
      <c r="E21" s="98">
        <v>2020</v>
      </c>
    </row>
    <row r="22" spans="2:8" ht="15" customHeight="1">
      <c r="B22" s="14"/>
      <c r="C22" s="1"/>
      <c r="E22" s="1"/>
      <c r="G22" s="119"/>
    </row>
    <row r="23" spans="2:8" ht="15" customHeight="1">
      <c r="B23" s="15" t="s">
        <v>168</v>
      </c>
      <c r="C23" s="8">
        <v>285886726.24000001</v>
      </c>
      <c r="D23" s="19"/>
      <c r="E23" s="8">
        <v>265705371.09</v>
      </c>
      <c r="F23" s="24"/>
      <c r="G23" s="118"/>
      <c r="H23" s="36"/>
    </row>
    <row r="24" spans="2:8" ht="15" customHeight="1">
      <c r="B24" s="144" t="s">
        <v>262</v>
      </c>
      <c r="C24" s="6">
        <v>7440896.3499999996</v>
      </c>
      <c r="E24" s="6"/>
      <c r="F24" s="24"/>
      <c r="G24" s="38"/>
    </row>
    <row r="25" spans="2:8" ht="19.5" customHeight="1" thickBot="1">
      <c r="B25" s="14" t="s">
        <v>1</v>
      </c>
      <c r="C25" s="27">
        <f>C23+C24</f>
        <v>293327622.59000003</v>
      </c>
      <c r="E25" s="27">
        <f>E23</f>
        <v>265705371.09</v>
      </c>
      <c r="F25" s="24"/>
      <c r="G25" s="38"/>
    </row>
    <row r="26" spans="2:8" ht="15.75" thickTop="1">
      <c r="E26" s="38"/>
    </row>
    <row r="27" spans="2:8">
      <c r="E27" s="38"/>
    </row>
    <row r="28" spans="2:8">
      <c r="C28" s="36"/>
      <c r="G28" s="36"/>
    </row>
    <row r="49" spans="3:6">
      <c r="C49" s="1"/>
      <c r="D49" s="1"/>
    </row>
    <row r="50" spans="3:6">
      <c r="C50" s="1"/>
      <c r="D50" s="1"/>
    </row>
    <row r="51" spans="3:6">
      <c r="C51" s="1"/>
      <c r="D51" s="1"/>
    </row>
    <row r="52" spans="3:6">
      <c r="C52" s="1"/>
      <c r="D52" s="1"/>
    </row>
    <row r="53" spans="3:6">
      <c r="C53" s="1"/>
      <c r="D53" s="1"/>
    </row>
    <row r="54" spans="3:6">
      <c r="C54" s="1"/>
      <c r="D54" s="1"/>
    </row>
    <row r="55" spans="3:6">
      <c r="C55" s="1"/>
      <c r="D55" s="1"/>
    </row>
    <row r="56" spans="3:6" ht="15.75">
      <c r="C56" s="178"/>
      <c r="D56" s="178"/>
      <c r="E56" s="178"/>
      <c r="F56" s="178"/>
    </row>
    <row r="57" spans="3:6" ht="15.75">
      <c r="C57" s="93"/>
      <c r="D57" s="93"/>
      <c r="E57" s="93"/>
      <c r="F57" s="93"/>
    </row>
    <row r="58" spans="3:6">
      <c r="C58" s="179"/>
      <c r="D58" s="179"/>
      <c r="E58" s="179"/>
      <c r="F58" s="179"/>
    </row>
    <row r="59" spans="3:6">
      <c r="C59" s="179"/>
      <c r="D59" s="179"/>
      <c r="E59" s="179"/>
      <c r="F59" s="179"/>
    </row>
    <row r="60" spans="3:6">
      <c r="C60" s="179"/>
      <c r="D60" s="179"/>
      <c r="E60" s="179"/>
      <c r="F60" s="179"/>
    </row>
    <row r="61" spans="3:6">
      <c r="C61" s="179"/>
      <c r="D61" s="179"/>
      <c r="E61" s="179"/>
      <c r="F61" s="179"/>
    </row>
    <row r="62" spans="3:6">
      <c r="C62" s="94"/>
      <c r="D62" s="94"/>
      <c r="E62" s="94"/>
      <c r="F62" s="94"/>
    </row>
  </sheetData>
  <mergeCells count="11">
    <mergeCell ref="C56:F56"/>
    <mergeCell ref="C58:F58"/>
    <mergeCell ref="C59:F59"/>
    <mergeCell ref="C60:F60"/>
    <mergeCell ref="C61:F61"/>
    <mergeCell ref="B17:E18"/>
    <mergeCell ref="B8:E8"/>
    <mergeCell ref="B12:E12"/>
    <mergeCell ref="B13:E13"/>
    <mergeCell ref="B10:E10"/>
    <mergeCell ref="B11:E11"/>
  </mergeCells>
  <phoneticPr fontId="6" type="noConversion"/>
  <printOptions horizontalCentered="1" verticalCentered="1"/>
  <pageMargins left="0.31496062992125984" right="0.35433070866141736" top="0.27559055118110237" bottom="0.27559055118110237" header="0.23622047244094491"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G25" sqref="G25"/>
    </sheetView>
  </sheetViews>
  <sheetFormatPr baseColWidth="10" defaultRowHeight="15"/>
  <cols>
    <col min="1" max="1" width="2.25" customWidth="1"/>
    <col min="2" max="2" width="43.75" customWidth="1"/>
    <col min="3" max="3" width="16.125" customWidth="1"/>
    <col min="4" max="4" width="1" customWidth="1"/>
    <col min="5" max="5" width="16.625" customWidth="1"/>
    <col min="6" max="6" width="12.875" bestFit="1" customWidth="1"/>
    <col min="7" max="7" width="13.125" customWidth="1"/>
    <col min="9" max="9" width="14.375" bestFit="1"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82" t="s">
        <v>33</v>
      </c>
      <c r="C8" s="182"/>
      <c r="D8" s="182"/>
      <c r="E8" s="182"/>
    </row>
    <row r="9" spans="2:5" ht="15.75">
      <c r="B9" s="43"/>
      <c r="C9" s="43"/>
      <c r="D9" s="43"/>
      <c r="E9" s="43"/>
    </row>
    <row r="10" spans="2:5">
      <c r="B10" s="179" t="s">
        <v>81</v>
      </c>
      <c r="C10" s="179"/>
      <c r="D10" s="179"/>
      <c r="E10" s="179"/>
    </row>
    <row r="11" spans="2:5">
      <c r="B11" s="179" t="s">
        <v>201</v>
      </c>
      <c r="C11" s="179"/>
      <c r="D11" s="179"/>
      <c r="E11" s="179"/>
    </row>
    <row r="12" spans="2:5">
      <c r="B12" s="179" t="s">
        <v>71</v>
      </c>
      <c r="C12" s="179"/>
      <c r="D12" s="179"/>
      <c r="E12" s="179"/>
    </row>
    <row r="13" spans="2:5">
      <c r="B13" s="31"/>
      <c r="C13" s="31"/>
      <c r="D13" s="31"/>
      <c r="E13" s="31"/>
    </row>
    <row r="14" spans="2:5">
      <c r="B14" s="5" t="s">
        <v>66</v>
      </c>
      <c r="C14" s="1"/>
    </row>
    <row r="15" spans="2:5">
      <c r="B15" s="5"/>
      <c r="C15" s="1"/>
    </row>
    <row r="16" spans="2:5" ht="21.75" customHeight="1">
      <c r="B16" s="187" t="s">
        <v>221</v>
      </c>
      <c r="C16" s="187"/>
      <c r="D16" s="187"/>
      <c r="E16" s="187"/>
    </row>
    <row r="17" spans="2:9" ht="24" customHeight="1">
      <c r="B17" s="187"/>
      <c r="C17" s="187"/>
      <c r="D17" s="187"/>
      <c r="E17" s="187"/>
    </row>
    <row r="18" spans="2:9" ht="20.25" customHeight="1">
      <c r="B18" s="187"/>
      <c r="C18" s="187"/>
      <c r="D18" s="187"/>
      <c r="E18" s="187"/>
    </row>
    <row r="19" spans="2:9" ht="63" customHeight="1">
      <c r="B19" s="187"/>
      <c r="C19" s="187"/>
      <c r="D19" s="187"/>
      <c r="E19" s="187"/>
      <c r="I19" s="36"/>
    </row>
    <row r="20" spans="2:9">
      <c r="B20" s="1"/>
      <c r="C20" s="1"/>
      <c r="E20" s="1"/>
    </row>
    <row r="21" spans="2:9" ht="15" customHeight="1">
      <c r="B21" s="14" t="s">
        <v>10</v>
      </c>
      <c r="C21" s="13">
        <v>2021</v>
      </c>
      <c r="D21" s="57"/>
      <c r="E21" s="98">
        <v>2020</v>
      </c>
    </row>
    <row r="22" spans="2:9" ht="15" customHeight="1">
      <c r="B22" s="14"/>
      <c r="C22" s="1"/>
      <c r="E22" s="1"/>
    </row>
    <row r="23" spans="2:9" ht="15" customHeight="1">
      <c r="B23" s="15" t="s">
        <v>195</v>
      </c>
      <c r="C23" s="8"/>
      <c r="E23" s="8">
        <v>18354</v>
      </c>
      <c r="F23" s="24"/>
    </row>
    <row r="24" spans="2:9" ht="15" customHeight="1">
      <c r="B24" s="15" t="s">
        <v>57</v>
      </c>
      <c r="C24" s="8">
        <v>1775287</v>
      </c>
      <c r="E24" s="8">
        <v>296900</v>
      </c>
      <c r="F24" s="24"/>
      <c r="G24" s="24"/>
    </row>
    <row r="25" spans="2:9" ht="15" customHeight="1">
      <c r="B25" s="15" t="s">
        <v>87</v>
      </c>
      <c r="C25" s="8">
        <v>32786.85</v>
      </c>
      <c r="D25" s="8"/>
      <c r="E25" s="8">
        <v>59847.75</v>
      </c>
      <c r="F25" s="24"/>
      <c r="G25" s="24"/>
    </row>
    <row r="26" spans="2:9" ht="15" customHeight="1">
      <c r="B26" s="15" t="s">
        <v>58</v>
      </c>
      <c r="C26" s="8">
        <v>-518016</v>
      </c>
      <c r="E26" s="8">
        <v>-80532.05</v>
      </c>
      <c r="F26" s="24"/>
      <c r="G26" s="24"/>
    </row>
    <row r="27" spans="2:9" ht="15" customHeight="1">
      <c r="B27" s="15" t="s">
        <v>137</v>
      </c>
      <c r="C27" s="6">
        <v>960195.29</v>
      </c>
      <c r="E27" s="6">
        <v>2924214.43</v>
      </c>
      <c r="F27" s="24"/>
      <c r="G27" s="24"/>
    </row>
    <row r="28" spans="2:9" ht="19.5" customHeight="1" thickBot="1">
      <c r="B28" s="14" t="s">
        <v>1</v>
      </c>
      <c r="C28" s="27">
        <f>SUM(C22:C27)</f>
        <v>2250253.14</v>
      </c>
      <c r="E28" s="42">
        <f>SUM(E23:E27)</f>
        <v>3218784.1300000004</v>
      </c>
      <c r="F28" s="24"/>
      <c r="G28" s="24"/>
    </row>
    <row r="29" spans="2:9" ht="15.75" thickTop="1">
      <c r="E29" s="38"/>
      <c r="F29" s="24"/>
    </row>
  </sheetData>
  <mergeCells count="5">
    <mergeCell ref="B8:E8"/>
    <mergeCell ref="B11:E11"/>
    <mergeCell ref="B12:E12"/>
    <mergeCell ref="B10:E10"/>
    <mergeCell ref="B16:E19"/>
  </mergeCells>
  <printOptions horizontalCentered="1"/>
  <pageMargins left="0.31496062992125984" right="0.43307086614173229" top="0.27559055118110237" bottom="0.27559055118110237" header="0.23622047244094491" footer="0"/>
  <pageSetup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0"/>
  <sheetViews>
    <sheetView topLeftCell="A16" workbookViewId="0">
      <selection activeCell="B15" sqref="B15:E18"/>
    </sheetView>
  </sheetViews>
  <sheetFormatPr baseColWidth="10" defaultRowHeight="15"/>
  <cols>
    <col min="1" max="1" width="1.75" customWidth="1"/>
    <col min="2" max="2" width="37.5" customWidth="1"/>
    <col min="3" max="3" width="17.25" customWidth="1"/>
    <col min="4" max="4" width="1.5" customWidth="1"/>
    <col min="5" max="5" width="18.25" customWidth="1"/>
    <col min="6" max="6" width="13.375" hidden="1" customWidth="1"/>
    <col min="7" max="7" width="16.375" customWidth="1"/>
    <col min="8" max="8" width="17" customWidth="1"/>
    <col min="9" max="9" width="15.375" bestFit="1" customWidth="1"/>
    <col min="10" max="10" width="10.875" bestFit="1" customWidth="1"/>
    <col min="12" max="12" width="22.25" customWidth="1"/>
    <col min="13" max="13" width="25.125"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78" t="s">
        <v>35</v>
      </c>
      <c r="C8" s="178"/>
      <c r="D8" s="178"/>
      <c r="E8" s="178"/>
    </row>
    <row r="9" spans="2:5" ht="15.75">
      <c r="B9" s="43"/>
      <c r="C9" s="43"/>
      <c r="D9" s="43"/>
      <c r="E9" s="43"/>
    </row>
    <row r="10" spans="2:5">
      <c r="B10" s="179" t="s">
        <v>82</v>
      </c>
      <c r="C10" s="179"/>
      <c r="D10" s="179"/>
      <c r="E10" s="179"/>
    </row>
    <row r="11" spans="2:5">
      <c r="B11" s="179" t="s">
        <v>201</v>
      </c>
      <c r="C11" s="179"/>
      <c r="D11" s="179"/>
      <c r="E11" s="179"/>
    </row>
    <row r="12" spans="2:5">
      <c r="B12" s="179" t="s">
        <v>71</v>
      </c>
      <c r="C12" s="179"/>
      <c r="D12" s="179"/>
      <c r="E12" s="179"/>
    </row>
    <row r="13" spans="2:5">
      <c r="B13" s="5" t="s">
        <v>124</v>
      </c>
      <c r="C13" s="1"/>
    </row>
    <row r="14" spans="2:5">
      <c r="B14" s="5"/>
      <c r="C14" s="1"/>
    </row>
    <row r="15" spans="2:5" ht="27" customHeight="1">
      <c r="B15" s="187" t="s">
        <v>222</v>
      </c>
      <c r="C15" s="187"/>
      <c r="D15" s="187"/>
      <c r="E15" s="187"/>
    </row>
    <row r="16" spans="2:5" ht="26.25" customHeight="1">
      <c r="B16" s="187"/>
      <c r="C16" s="187"/>
      <c r="D16" s="187"/>
      <c r="E16" s="187"/>
    </row>
    <row r="17" spans="2:14" ht="31.5" customHeight="1">
      <c r="B17" s="187"/>
      <c r="C17" s="187"/>
      <c r="D17" s="187"/>
      <c r="E17" s="187"/>
    </row>
    <row r="18" spans="2:14" ht="158.25" customHeight="1">
      <c r="B18" s="187"/>
      <c r="C18" s="187"/>
      <c r="D18" s="187"/>
      <c r="E18" s="187"/>
      <c r="F18" s="80"/>
      <c r="K18" s="144"/>
      <c r="L18" s="23"/>
      <c r="M18" s="73"/>
    </row>
    <row r="19" spans="2:14">
      <c r="B19" s="1"/>
      <c r="C19" s="1"/>
    </row>
    <row r="20" spans="2:14" ht="21" customHeight="1">
      <c r="B20" s="14" t="s">
        <v>10</v>
      </c>
      <c r="C20" s="13">
        <v>2021</v>
      </c>
      <c r="D20" s="57"/>
      <c r="E20" s="98">
        <v>2020</v>
      </c>
      <c r="G20" s="14"/>
      <c r="H20" s="1"/>
      <c r="I20" s="1"/>
      <c r="J20" s="31"/>
      <c r="K20" s="73"/>
    </row>
    <row r="21" spans="2:14" ht="15" customHeight="1">
      <c r="B21" s="14" t="s">
        <v>250</v>
      </c>
      <c r="C21" s="1"/>
      <c r="E21" s="1"/>
      <c r="G21" s="14"/>
      <c r="H21" s="1"/>
      <c r="I21" s="1"/>
      <c r="J21" s="1"/>
      <c r="K21" s="1"/>
      <c r="L21" s="112"/>
      <c r="M21" s="112"/>
      <c r="N21" s="112"/>
    </row>
    <row r="22" spans="2:14" ht="15" customHeight="1">
      <c r="B22" s="15" t="s">
        <v>247</v>
      </c>
      <c r="C22" s="8">
        <v>150885489.97</v>
      </c>
      <c r="E22" s="8">
        <v>135883806.36000001</v>
      </c>
      <c r="F22" s="24">
        <f>+C22-E22</f>
        <v>15001683.609999985</v>
      </c>
      <c r="G22" s="8"/>
      <c r="I22" s="8"/>
      <c r="J22" s="24"/>
      <c r="K22" s="119"/>
      <c r="L22" s="127"/>
      <c r="M22" s="112"/>
      <c r="N22" s="112"/>
    </row>
    <row r="23" spans="2:14" ht="15" customHeight="1">
      <c r="B23" s="15" t="s">
        <v>248</v>
      </c>
      <c r="C23" s="8">
        <v>6945000</v>
      </c>
      <c r="E23" s="8">
        <f>1605000+25000</f>
        <v>1630000</v>
      </c>
      <c r="F23" s="24"/>
      <c r="G23" s="8"/>
      <c r="I23" s="8"/>
      <c r="J23" s="24"/>
      <c r="K23" s="119"/>
      <c r="L23" s="127"/>
      <c r="M23" s="112"/>
      <c r="N23" s="112"/>
    </row>
    <row r="24" spans="2:14" ht="15" customHeight="1">
      <c r="B24" s="15" t="s">
        <v>260</v>
      </c>
      <c r="C24" s="8">
        <v>18199620.699999999</v>
      </c>
      <c r="E24" s="8">
        <v>19007720</v>
      </c>
      <c r="F24" s="24"/>
      <c r="G24" s="8"/>
      <c r="I24" s="8"/>
      <c r="J24" s="24"/>
      <c r="K24" s="119"/>
      <c r="L24" s="127"/>
      <c r="M24" s="112"/>
      <c r="N24" s="112"/>
    </row>
    <row r="25" spans="2:14" ht="15" customHeight="1">
      <c r="B25" s="15" t="s">
        <v>249</v>
      </c>
      <c r="C25" s="8">
        <v>34000</v>
      </c>
      <c r="E25" s="8">
        <v>12552144.390000001</v>
      </c>
      <c r="F25" s="24"/>
      <c r="G25" s="8"/>
      <c r="I25" s="8"/>
      <c r="J25" s="24"/>
      <c r="K25" s="119"/>
      <c r="L25" s="127"/>
      <c r="M25" s="112"/>
      <c r="N25" s="112"/>
    </row>
    <row r="26" spans="2:14" ht="15" customHeight="1">
      <c r="B26" s="15" t="s">
        <v>169</v>
      </c>
      <c r="C26" s="8">
        <v>2572898.83</v>
      </c>
      <c r="E26" s="8">
        <v>1094428.51</v>
      </c>
      <c r="F26" s="24"/>
      <c r="G26" s="8"/>
      <c r="I26" s="8"/>
      <c r="J26" s="24"/>
      <c r="K26" s="119"/>
      <c r="L26" s="127"/>
      <c r="M26" s="112"/>
      <c r="N26" s="112"/>
    </row>
    <row r="27" spans="2:14" ht="15" customHeight="1">
      <c r="B27" s="15" t="s">
        <v>170</v>
      </c>
      <c r="C27" s="8">
        <v>1262500</v>
      </c>
      <c r="E27" s="8">
        <v>1009500</v>
      </c>
      <c r="F27" s="24"/>
      <c r="G27" s="8"/>
      <c r="I27" s="8"/>
      <c r="J27" s="24"/>
      <c r="K27" s="119"/>
      <c r="L27" s="127"/>
      <c r="M27" s="112"/>
      <c r="N27" s="112"/>
    </row>
    <row r="28" spans="2:14" ht="15" customHeight="1">
      <c r="B28" s="15" t="s">
        <v>213</v>
      </c>
      <c r="C28" s="8">
        <v>9609640</v>
      </c>
      <c r="D28" s="19"/>
      <c r="E28" s="8">
        <v>5000000</v>
      </c>
      <c r="F28" s="24"/>
      <c r="G28" s="8"/>
      <c r="I28" s="8"/>
      <c r="J28" s="24"/>
      <c r="K28" s="119"/>
      <c r="L28" s="127"/>
      <c r="M28" s="112"/>
      <c r="N28" s="112"/>
    </row>
    <row r="29" spans="2:14" ht="15" customHeight="1">
      <c r="B29" s="14" t="s">
        <v>251</v>
      </c>
      <c r="C29" s="8"/>
      <c r="E29" s="8"/>
      <c r="F29" s="24"/>
      <c r="G29" s="8"/>
      <c r="I29" s="8"/>
      <c r="J29" s="24"/>
      <c r="K29" s="119"/>
      <c r="L29" s="127"/>
      <c r="M29" s="112"/>
      <c r="N29" s="112"/>
    </row>
    <row r="30" spans="2:14" ht="15" customHeight="1">
      <c r="B30" s="15" t="s">
        <v>245</v>
      </c>
      <c r="C30" s="8">
        <f>940000+150000+36000</f>
        <v>1126000</v>
      </c>
      <c r="E30" s="8">
        <f>330000+34000</f>
        <v>364000</v>
      </c>
      <c r="F30" s="24"/>
      <c r="G30" s="8"/>
      <c r="I30" s="8"/>
      <c r="J30" s="24"/>
      <c r="K30" s="119"/>
      <c r="L30" s="127"/>
      <c r="M30" s="112"/>
      <c r="N30" s="112"/>
    </row>
    <row r="31" spans="2:14" ht="15" customHeight="1">
      <c r="B31" s="15" t="s">
        <v>246</v>
      </c>
      <c r="C31" s="8">
        <v>205084.45</v>
      </c>
      <c r="E31" s="8">
        <f>90000+90000</f>
        <v>180000</v>
      </c>
      <c r="F31" s="24"/>
      <c r="G31" s="8"/>
      <c r="H31" s="36"/>
      <c r="I31" s="8"/>
      <c r="J31" s="24"/>
      <c r="K31" s="119"/>
      <c r="L31" s="127"/>
      <c r="M31" s="112"/>
      <c r="N31" s="112"/>
    </row>
    <row r="32" spans="2:14" ht="15" customHeight="1">
      <c r="B32" s="14" t="s">
        <v>252</v>
      </c>
      <c r="C32" s="8"/>
      <c r="E32" s="8"/>
      <c r="F32" s="24"/>
      <c r="G32" s="8"/>
      <c r="H32" s="36"/>
      <c r="I32" s="8"/>
      <c r="J32" s="24"/>
      <c r="K32" s="119"/>
      <c r="L32" s="127"/>
      <c r="M32" s="112"/>
      <c r="N32" s="112"/>
    </row>
    <row r="33" spans="2:14" ht="15" customHeight="1">
      <c r="B33" s="15" t="s">
        <v>163</v>
      </c>
      <c r="C33" s="8">
        <v>14594944.84</v>
      </c>
      <c r="D33" s="19"/>
      <c r="E33" s="8">
        <v>12236472.199999999</v>
      </c>
      <c r="F33" s="24"/>
      <c r="G33" s="8"/>
      <c r="H33" s="24"/>
      <c r="I33" s="8"/>
      <c r="J33" s="24"/>
      <c r="K33" s="119"/>
      <c r="L33" s="127"/>
      <c r="M33" s="112"/>
      <c r="N33" s="112"/>
    </row>
    <row r="34" spans="2:14" ht="15" customHeight="1">
      <c r="B34" s="15" t="s">
        <v>253</v>
      </c>
      <c r="C34" s="8">
        <v>17833071.960000001</v>
      </c>
      <c r="D34" s="19"/>
      <c r="E34" s="8">
        <v>8965633.1799999997</v>
      </c>
      <c r="F34" s="24"/>
      <c r="G34" s="8"/>
      <c r="H34" s="24"/>
      <c r="I34" s="8"/>
      <c r="J34" s="24"/>
      <c r="K34" s="119"/>
      <c r="L34" s="127"/>
      <c r="M34" s="112"/>
      <c r="N34" s="112"/>
    </row>
    <row r="35" spans="2:14" ht="15" customHeight="1">
      <c r="B35" s="15" t="s">
        <v>254</v>
      </c>
      <c r="C35" s="8">
        <f>7177803.83+304568.78</f>
        <v>7482372.6100000003</v>
      </c>
      <c r="E35" s="8">
        <v>2153305.0099999998</v>
      </c>
      <c r="F35" s="24"/>
      <c r="G35" s="8"/>
      <c r="I35" s="8"/>
      <c r="J35" s="24"/>
      <c r="K35" s="119"/>
      <c r="L35" s="127"/>
      <c r="M35" s="112"/>
      <c r="N35" s="112"/>
    </row>
    <row r="36" spans="2:14" ht="15" customHeight="1">
      <c r="B36" s="140" t="s">
        <v>59</v>
      </c>
      <c r="C36" s="23"/>
      <c r="E36" s="8"/>
      <c r="F36" s="81">
        <f t="shared" ref="F36:F40" si="0">+C36-E36</f>
        <v>0</v>
      </c>
      <c r="G36" s="8"/>
      <c r="I36" s="8"/>
      <c r="J36" s="24"/>
      <c r="K36" s="119"/>
      <c r="L36" s="127"/>
      <c r="M36" s="112"/>
      <c r="N36" s="112"/>
    </row>
    <row r="37" spans="2:14" ht="15" customHeight="1">
      <c r="B37" s="144" t="s">
        <v>256</v>
      </c>
      <c r="C37" s="23">
        <v>10617428.189999999</v>
      </c>
      <c r="E37" s="8">
        <v>8944414.5999999996</v>
      </c>
      <c r="F37" s="81"/>
      <c r="G37" s="8"/>
      <c r="I37" s="8"/>
      <c r="J37" s="24"/>
      <c r="K37" s="119"/>
      <c r="L37" s="127"/>
      <c r="M37" s="112"/>
      <c r="N37" s="112"/>
    </row>
    <row r="38" spans="2:14" ht="15" customHeight="1">
      <c r="B38" s="144" t="s">
        <v>259</v>
      </c>
      <c r="C38" s="23">
        <v>10707628.65</v>
      </c>
      <c r="E38" s="8">
        <v>8976888.1699999999</v>
      </c>
      <c r="F38" s="81"/>
      <c r="G38" s="8"/>
      <c r="I38" s="8"/>
      <c r="J38" s="24"/>
      <c r="K38" s="119"/>
      <c r="L38" s="127"/>
      <c r="M38" s="112"/>
      <c r="N38" s="112"/>
    </row>
    <row r="39" spans="2:14" ht="15" customHeight="1">
      <c r="B39" s="144" t="s">
        <v>261</v>
      </c>
      <c r="C39" s="23">
        <v>1639184.68</v>
      </c>
      <c r="E39" s="8">
        <v>1364314.43</v>
      </c>
      <c r="F39" s="81"/>
      <c r="G39" s="8"/>
      <c r="I39" s="8"/>
      <c r="J39" s="24"/>
      <c r="K39" s="119"/>
      <c r="L39" s="127"/>
      <c r="M39" s="112"/>
      <c r="N39" s="112"/>
    </row>
    <row r="40" spans="2:14" ht="19.5" customHeight="1" thickBot="1">
      <c r="B40" s="14" t="s">
        <v>1</v>
      </c>
      <c r="C40" s="27">
        <f>SUM(C22:C39)</f>
        <v>253714864.88000003</v>
      </c>
      <c r="E40" s="41">
        <f>SUM(E21:E39)</f>
        <v>219362626.84999996</v>
      </c>
      <c r="F40" s="24">
        <f t="shared" si="0"/>
        <v>34352238.030000061</v>
      </c>
      <c r="G40" s="8"/>
      <c r="H40" s="19"/>
      <c r="I40" s="46"/>
      <c r="J40" s="24"/>
    </row>
    <row r="41" spans="2:14" ht="19.5" customHeight="1" thickTop="1">
      <c r="B41" s="14"/>
      <c r="C41" s="26"/>
      <c r="E41" s="46"/>
      <c r="F41" s="24"/>
      <c r="G41" s="8"/>
    </row>
    <row r="42" spans="2:14">
      <c r="E42" s="38"/>
      <c r="G42" s="8"/>
    </row>
    <row r="43" spans="2:14">
      <c r="C43" s="163"/>
      <c r="D43" s="113"/>
      <c r="E43" s="108"/>
      <c r="F43" s="113"/>
      <c r="G43" s="23"/>
    </row>
    <row r="44" spans="2:14">
      <c r="C44" s="36"/>
      <c r="E44" s="73"/>
      <c r="G44" s="8"/>
    </row>
    <row r="45" spans="2:14">
      <c r="C45" s="36"/>
    </row>
    <row r="46" spans="2:14">
      <c r="C46" s="36"/>
    </row>
    <row r="47" spans="2:14">
      <c r="C47" s="36"/>
    </row>
    <row r="48" spans="2:14">
      <c r="C48" s="36"/>
    </row>
    <row r="49" spans="3:3">
      <c r="C49" s="36"/>
    </row>
    <row r="50" spans="3:3">
      <c r="C50" s="24"/>
    </row>
  </sheetData>
  <mergeCells count="5">
    <mergeCell ref="B8:E8"/>
    <mergeCell ref="B11:E11"/>
    <mergeCell ref="B12:E12"/>
    <mergeCell ref="B10:E10"/>
    <mergeCell ref="B15:E18"/>
  </mergeCells>
  <printOptions horizontalCentered="1"/>
  <pageMargins left="0.31496062992125984" right="0.31496062992125984" top="0.27559055118110237" bottom="0.27559055118110237" header="0.23622047244094491"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3" workbookViewId="0">
      <selection activeCell="A17" sqref="A17"/>
    </sheetView>
  </sheetViews>
  <sheetFormatPr baseColWidth="10" defaultRowHeight="15" customHeight="1"/>
  <cols>
    <col min="1" max="1" width="39" customWidth="1"/>
    <col min="2" max="2" width="16.25" style="2" customWidth="1"/>
    <col min="3" max="3" width="1" style="2" customWidth="1"/>
    <col min="4" max="4" width="15.375" style="2" customWidth="1"/>
    <col min="5" max="5" width="2.75" style="2" customWidth="1"/>
    <col min="6" max="6" width="15.375" style="2" customWidth="1"/>
    <col min="7" max="7" width="12.875" bestFit="1" customWidth="1"/>
    <col min="8" max="8" width="14.375" customWidth="1"/>
    <col min="9" max="9" width="16.75" bestFit="1" customWidth="1"/>
    <col min="10" max="10" width="12.125" customWidth="1"/>
  </cols>
  <sheetData>
    <row r="1" spans="1:6" ht="15" customHeight="1">
      <c r="A1" s="1"/>
    </row>
    <row r="2" spans="1:6" ht="15" customHeight="1">
      <c r="A2" s="1"/>
    </row>
    <row r="3" spans="1:6" ht="15" customHeight="1">
      <c r="A3" s="1"/>
    </row>
    <row r="4" spans="1:6" ht="15" customHeight="1">
      <c r="A4" s="1"/>
    </row>
    <row r="5" spans="1:6" ht="15" customHeight="1">
      <c r="A5" s="1"/>
    </row>
    <row r="6" spans="1:6" ht="15" customHeight="1">
      <c r="A6" s="1"/>
    </row>
    <row r="7" spans="1:6" ht="15" customHeight="1">
      <c r="A7" s="1"/>
    </row>
    <row r="8" spans="1:6" ht="15" customHeight="1">
      <c r="A8" s="178" t="s">
        <v>97</v>
      </c>
      <c r="B8" s="178"/>
      <c r="C8" s="178"/>
      <c r="D8" s="178"/>
      <c r="E8" s="178"/>
      <c r="F8" s="178"/>
    </row>
    <row r="9" spans="1:6" ht="15" customHeight="1">
      <c r="A9" s="179" t="s">
        <v>226</v>
      </c>
      <c r="B9" s="179"/>
      <c r="C9" s="179"/>
      <c r="D9" s="179"/>
      <c r="E9" s="179"/>
      <c r="F9" s="179"/>
    </row>
    <row r="10" spans="1:6" ht="15" customHeight="1">
      <c r="A10" s="179" t="s">
        <v>71</v>
      </c>
      <c r="B10" s="179"/>
      <c r="C10" s="179"/>
      <c r="D10" s="179"/>
      <c r="E10" s="179"/>
      <c r="F10" s="179"/>
    </row>
    <row r="11" spans="1:6" ht="15" customHeight="1">
      <c r="A11" s="5" t="s">
        <v>96</v>
      </c>
    </row>
    <row r="12" spans="1:6" ht="15" customHeight="1">
      <c r="A12" s="5"/>
    </row>
    <row r="13" spans="1:6" ht="32.25" customHeight="1">
      <c r="A13" s="181" t="s">
        <v>232</v>
      </c>
      <c r="B13" s="181"/>
      <c r="C13" s="181"/>
      <c r="D13" s="181"/>
      <c r="E13" s="181"/>
      <c r="F13" s="181"/>
    </row>
    <row r="14" spans="1:6" ht="29.25" customHeight="1">
      <c r="A14" s="181"/>
      <c r="B14" s="181"/>
      <c r="C14" s="181"/>
      <c r="D14" s="181"/>
      <c r="E14" s="181"/>
      <c r="F14" s="181"/>
    </row>
    <row r="15" spans="1:6" ht="32.25" customHeight="1">
      <c r="A15" s="181"/>
      <c r="B15" s="181"/>
      <c r="C15" s="181"/>
      <c r="D15" s="181"/>
      <c r="E15" s="181"/>
      <c r="F15" s="181"/>
    </row>
    <row r="16" spans="1:6" ht="87.75" customHeight="1">
      <c r="A16" s="181"/>
      <c r="B16" s="181"/>
      <c r="C16" s="181"/>
      <c r="D16" s="181"/>
      <c r="E16" s="181"/>
      <c r="F16" s="181"/>
    </row>
    <row r="17" spans="1:11" ht="32.25" customHeight="1">
      <c r="A17" s="70"/>
      <c r="B17" s="70"/>
      <c r="C17" s="70"/>
      <c r="D17" s="70"/>
      <c r="E17" s="70"/>
      <c r="F17" s="70"/>
    </row>
    <row r="18" spans="1:11" ht="15" customHeight="1">
      <c r="A18" s="13"/>
      <c r="H18" s="108"/>
      <c r="I18" s="113"/>
      <c r="J18" s="113"/>
      <c r="K18" s="113"/>
    </row>
    <row r="19" spans="1:11" ht="15" customHeight="1">
      <c r="A19" s="14" t="s">
        <v>10</v>
      </c>
      <c r="B19" s="82">
        <v>2021</v>
      </c>
      <c r="C19" s="83"/>
      <c r="D19" s="82">
        <v>2020</v>
      </c>
      <c r="H19" s="108"/>
      <c r="I19" s="113"/>
      <c r="J19" s="113"/>
      <c r="K19" s="113"/>
    </row>
    <row r="20" spans="1:11" ht="15" customHeight="1">
      <c r="A20" s="14"/>
    </row>
    <row r="21" spans="1:11" ht="15" customHeight="1">
      <c r="A21" s="15" t="s">
        <v>0</v>
      </c>
      <c r="B21" s="2">
        <v>9884209.3399999999</v>
      </c>
      <c r="D21" s="2">
        <v>9809951.3599999994</v>
      </c>
      <c r="G21" s="24"/>
      <c r="H21" s="65"/>
      <c r="I21" s="2"/>
      <c r="J21" s="36"/>
    </row>
    <row r="22" spans="1:11" ht="15" customHeight="1">
      <c r="A22" s="15" t="s">
        <v>131</v>
      </c>
      <c r="B22" s="2">
        <v>2065915.53</v>
      </c>
      <c r="D22" s="2">
        <v>2038783.99</v>
      </c>
      <c r="G22" s="24"/>
      <c r="H22" s="24"/>
      <c r="I22" s="36"/>
      <c r="J22" s="36"/>
    </row>
    <row r="23" spans="1:11" ht="15" customHeight="1">
      <c r="A23" s="15" t="s">
        <v>23</v>
      </c>
      <c r="B23" s="8">
        <v>2071593.05</v>
      </c>
      <c r="D23" s="8">
        <v>1934713.19</v>
      </c>
      <c r="G23" s="24"/>
      <c r="H23" s="24"/>
      <c r="I23" s="36"/>
      <c r="J23" s="36"/>
    </row>
    <row r="24" spans="1:11" ht="15" customHeight="1">
      <c r="A24" s="28" t="s">
        <v>47</v>
      </c>
      <c r="B24" s="30">
        <v>32504.68</v>
      </c>
      <c r="C24" s="29"/>
      <c r="D24" s="30">
        <v>44266.22</v>
      </c>
      <c r="G24" s="24"/>
      <c r="H24" s="24"/>
      <c r="I24" s="36"/>
      <c r="J24" s="36"/>
    </row>
    <row r="25" spans="1:11" ht="15" customHeight="1">
      <c r="A25" s="1" t="s">
        <v>42</v>
      </c>
      <c r="D25" s="2">
        <v>65564.83</v>
      </c>
      <c r="G25" s="24"/>
      <c r="H25" s="24"/>
      <c r="I25" s="24"/>
      <c r="J25" s="24"/>
    </row>
    <row r="26" spans="1:11" ht="15" customHeight="1">
      <c r="A26" s="1" t="s">
        <v>41</v>
      </c>
      <c r="B26" s="2">
        <f>2141.76+336+350</f>
        <v>2827.76</v>
      </c>
      <c r="D26" s="2">
        <f>514171.63+718.22+28414.97+48850.45+15541.1+4528.97+85471.99+266393.02+70498.42+38173.55+6006.93+142.82+350</f>
        <v>1079262.0699999998</v>
      </c>
      <c r="G26" s="24"/>
      <c r="H26" s="24"/>
    </row>
    <row r="27" spans="1:11" ht="15" customHeight="1">
      <c r="A27" s="15" t="s">
        <v>43</v>
      </c>
      <c r="B27" s="8">
        <v>394769.36</v>
      </c>
      <c r="D27" s="8">
        <v>575625.5</v>
      </c>
      <c r="G27" s="24"/>
      <c r="H27" s="24"/>
    </row>
    <row r="28" spans="1:11" ht="15" customHeight="1">
      <c r="A28" s="15" t="s">
        <v>51</v>
      </c>
      <c r="B28" s="6">
        <v>706327.8</v>
      </c>
      <c r="D28" s="6">
        <f>5950+18479.9+1707.72+618072.18+128506.69+1151869.02+112594+191810</f>
        <v>2228989.5099999998</v>
      </c>
      <c r="G28" s="24"/>
      <c r="H28" s="24"/>
    </row>
    <row r="29" spans="1:11" ht="18" customHeight="1" thickBot="1">
      <c r="A29" s="14" t="s">
        <v>1</v>
      </c>
      <c r="B29" s="7">
        <f>SUM(B21:B28)</f>
        <v>15158147.52</v>
      </c>
      <c r="D29" s="7">
        <f>SUM(D21:D28)</f>
        <v>17777156.670000002</v>
      </c>
      <c r="G29" s="24"/>
      <c r="H29" s="24"/>
    </row>
    <row r="30" spans="1:11" ht="15" customHeight="1" thickTop="1">
      <c r="A30" s="13"/>
    </row>
    <row r="31" spans="1:11" ht="15" customHeight="1">
      <c r="A31" s="16"/>
    </row>
  </sheetData>
  <mergeCells count="4">
    <mergeCell ref="A8:F8"/>
    <mergeCell ref="A9:F9"/>
    <mergeCell ref="A10:F10"/>
    <mergeCell ref="A13:F16"/>
  </mergeCells>
  <phoneticPr fontId="6" type="noConversion"/>
  <printOptions horizontalCentered="1"/>
  <pageMargins left="0.19685039370078741" right="0.27559055118110237" top="0.27559055118110237" bottom="0.27559055118110237" header="0.23622047244094491"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A10" zoomScaleNormal="100" workbookViewId="0">
      <selection activeCell="E30" sqref="E30"/>
    </sheetView>
  </sheetViews>
  <sheetFormatPr baseColWidth="10" defaultRowHeight="15"/>
  <cols>
    <col min="1" max="1" width="2" customWidth="1"/>
    <col min="2" max="2" width="44.375" customWidth="1"/>
    <col min="3" max="3" width="3.875" customWidth="1"/>
    <col min="4" max="5" width="15.125" customWidth="1"/>
    <col min="6" max="6" width="12.375" bestFit="1" customWidth="1"/>
    <col min="7" max="7" width="12.375" hidden="1" customWidth="1"/>
    <col min="8" max="8" width="17.75" bestFit="1" customWidth="1"/>
    <col min="9" max="9" width="13.125" customWidth="1"/>
  </cols>
  <sheetData>
    <row r="1" spans="2:5">
      <c r="B1" s="1"/>
      <c r="C1" s="1"/>
      <c r="D1" s="1"/>
    </row>
    <row r="2" spans="2:5">
      <c r="B2" s="1"/>
      <c r="C2" s="1"/>
      <c r="D2" s="1"/>
    </row>
    <row r="3" spans="2:5">
      <c r="B3" s="1"/>
      <c r="C3" s="1"/>
      <c r="D3" s="1"/>
    </row>
    <row r="4" spans="2:5">
      <c r="B4" s="1"/>
      <c r="C4" s="1"/>
      <c r="D4" s="1"/>
    </row>
    <row r="5" spans="2:5">
      <c r="B5" s="1"/>
      <c r="C5" s="1"/>
      <c r="D5" s="1"/>
    </row>
    <row r="6" spans="2:5">
      <c r="B6" s="1"/>
      <c r="C6" s="1"/>
      <c r="D6" s="1"/>
    </row>
    <row r="7" spans="2:5">
      <c r="B7" s="1"/>
      <c r="C7" s="1"/>
      <c r="D7" s="1"/>
    </row>
    <row r="8" spans="2:5" ht="15.75">
      <c r="B8" s="178" t="s">
        <v>118</v>
      </c>
      <c r="C8" s="178"/>
      <c r="D8" s="178"/>
      <c r="E8" s="178"/>
    </row>
    <row r="9" spans="2:5" ht="15.75">
      <c r="B9" s="43"/>
      <c r="C9" s="43"/>
      <c r="D9" s="43"/>
      <c r="E9" s="43"/>
    </row>
    <row r="10" spans="2:5">
      <c r="B10" s="179" t="s">
        <v>84</v>
      </c>
      <c r="C10" s="179"/>
      <c r="D10" s="179"/>
      <c r="E10" s="179"/>
    </row>
    <row r="11" spans="2:5">
      <c r="B11" s="179" t="s">
        <v>201</v>
      </c>
      <c r="C11" s="179"/>
      <c r="D11" s="179"/>
      <c r="E11" s="179"/>
    </row>
    <row r="12" spans="2:5">
      <c r="B12" s="179" t="s">
        <v>71</v>
      </c>
      <c r="C12" s="179"/>
      <c r="D12" s="179"/>
      <c r="E12" s="179"/>
    </row>
    <row r="13" spans="2:5">
      <c r="B13" s="5" t="s">
        <v>121</v>
      </c>
      <c r="C13" s="1"/>
      <c r="D13" s="1"/>
    </row>
    <row r="14" spans="2:5">
      <c r="B14" s="5"/>
      <c r="C14" s="1"/>
      <c r="D14" s="1"/>
    </row>
    <row r="15" spans="2:5" ht="24.75" customHeight="1">
      <c r="B15" s="187" t="s">
        <v>240</v>
      </c>
      <c r="C15" s="187"/>
      <c r="D15" s="187"/>
      <c r="E15" s="187"/>
    </row>
    <row r="16" spans="2:5" ht="40.5" customHeight="1">
      <c r="B16" s="187"/>
      <c r="C16" s="187"/>
      <c r="D16" s="187"/>
      <c r="E16" s="187"/>
    </row>
    <row r="17" spans="2:9" ht="110.25" customHeight="1">
      <c r="B17" s="187"/>
      <c r="C17" s="187"/>
      <c r="D17" s="187"/>
      <c r="E17" s="187"/>
    </row>
    <row r="18" spans="2:9">
      <c r="B18" s="1"/>
      <c r="C18" s="1"/>
      <c r="D18" s="1"/>
    </row>
    <row r="19" spans="2:9">
      <c r="B19" s="14" t="s">
        <v>10</v>
      </c>
      <c r="C19" s="1"/>
      <c r="D19" s="13">
        <v>2021</v>
      </c>
      <c r="E19" s="98">
        <v>2020</v>
      </c>
    </row>
    <row r="20" spans="2:9">
      <c r="B20" s="14"/>
      <c r="C20" s="1"/>
      <c r="D20" s="1"/>
      <c r="E20" s="1"/>
    </row>
    <row r="21" spans="2:9">
      <c r="B21" s="14" t="s">
        <v>198</v>
      </c>
      <c r="C21" s="1"/>
      <c r="D21" s="1"/>
      <c r="E21" s="1"/>
    </row>
    <row r="22" spans="2:9">
      <c r="B22" s="15"/>
      <c r="C22" s="1"/>
      <c r="D22" s="1"/>
      <c r="E22" s="1"/>
    </row>
    <row r="23" spans="2:9" ht="27.75">
      <c r="B23" s="15" t="s">
        <v>199</v>
      </c>
      <c r="C23" s="1"/>
      <c r="D23" s="48">
        <v>17731264.469999999</v>
      </c>
      <c r="E23" s="48">
        <v>6128054.4500000002</v>
      </c>
      <c r="F23" s="38"/>
      <c r="H23" s="36"/>
      <c r="I23" s="24"/>
    </row>
    <row r="24" spans="2:9">
      <c r="B24" s="33" t="s">
        <v>70</v>
      </c>
      <c r="C24" s="1"/>
      <c r="D24" s="48">
        <f>9300116.08+37699957.61+246176</f>
        <v>47246249.689999998</v>
      </c>
      <c r="E24" s="48">
        <v>56744028.890000001</v>
      </c>
      <c r="F24" s="38"/>
      <c r="H24" s="36"/>
    </row>
    <row r="25" spans="2:9" ht="30.75" customHeight="1">
      <c r="B25" s="15" t="s">
        <v>125</v>
      </c>
      <c r="C25" s="2"/>
      <c r="D25" s="51">
        <v>1252600</v>
      </c>
      <c r="E25" s="51">
        <v>285000</v>
      </c>
      <c r="F25" s="38"/>
      <c r="G25" s="38"/>
      <c r="H25" s="36"/>
    </row>
    <row r="26" spans="2:9">
      <c r="B26" s="14" t="s">
        <v>1</v>
      </c>
      <c r="C26" s="2"/>
      <c r="D26" s="49"/>
      <c r="E26" s="49"/>
      <c r="F26" s="38"/>
      <c r="H26" s="36"/>
    </row>
    <row r="27" spans="2:9" ht="15.75" thickBot="1">
      <c r="D27" s="47">
        <f>SUM(D20:D26)</f>
        <v>66230114.159999996</v>
      </c>
      <c r="E27" s="47">
        <f>SUM(E20:E26)</f>
        <v>63157083.340000004</v>
      </c>
      <c r="F27" s="38"/>
      <c r="H27" s="36"/>
    </row>
    <row r="28" spans="2:9" ht="27.75" customHeight="1" thickTop="1">
      <c r="F28" s="38"/>
    </row>
    <row r="29" spans="2:9">
      <c r="D29" s="36"/>
    </row>
  </sheetData>
  <mergeCells count="5">
    <mergeCell ref="B8:E8"/>
    <mergeCell ref="B10:E10"/>
    <mergeCell ref="B11:E11"/>
    <mergeCell ref="B12:E12"/>
    <mergeCell ref="B15:E17"/>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workbookViewId="0">
      <selection activeCell="B22" sqref="B22"/>
    </sheetView>
  </sheetViews>
  <sheetFormatPr baseColWidth="10" defaultRowHeight="15"/>
  <cols>
    <col min="1" max="1" width="1.625" customWidth="1"/>
    <col min="2" max="2" width="45.625" customWidth="1"/>
    <col min="3" max="3" width="16.125" customWidth="1"/>
    <col min="4" max="4" width="0.875" customWidth="1"/>
    <col min="5" max="5" width="16.75" customWidth="1"/>
    <col min="6" max="7" width="13.875" bestFit="1" customWidth="1"/>
    <col min="8" max="8" width="13.375" bestFit="1"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78" t="s">
        <v>113</v>
      </c>
      <c r="C8" s="178"/>
      <c r="D8" s="178"/>
      <c r="E8" s="178"/>
    </row>
    <row r="9" spans="2:5" ht="15.75">
      <c r="B9" s="43"/>
      <c r="C9" s="43"/>
      <c r="D9" s="43"/>
      <c r="E9" s="43"/>
    </row>
    <row r="10" spans="2:5">
      <c r="B10" s="179" t="s">
        <v>83</v>
      </c>
      <c r="C10" s="179"/>
      <c r="D10" s="179"/>
      <c r="E10" s="179"/>
    </row>
    <row r="11" spans="2:5">
      <c r="B11" s="179" t="s">
        <v>201</v>
      </c>
      <c r="C11" s="179"/>
      <c r="D11" s="179"/>
      <c r="E11" s="179"/>
    </row>
    <row r="12" spans="2:5">
      <c r="B12" s="179" t="s">
        <v>71</v>
      </c>
      <c r="C12" s="179"/>
      <c r="D12" s="179"/>
      <c r="E12" s="179"/>
    </row>
    <row r="13" spans="2:5">
      <c r="B13" s="5" t="s">
        <v>72</v>
      </c>
      <c r="C13" s="1"/>
    </row>
    <row r="14" spans="2:5">
      <c r="B14" s="5"/>
      <c r="C14" s="1"/>
    </row>
    <row r="15" spans="2:5" ht="22.5" customHeight="1">
      <c r="B15" s="187" t="s">
        <v>242</v>
      </c>
      <c r="C15" s="187"/>
      <c r="D15" s="187"/>
      <c r="E15" s="187"/>
    </row>
    <row r="16" spans="2:5" ht="25.5" customHeight="1">
      <c r="B16" s="187"/>
      <c r="C16" s="187"/>
      <c r="D16" s="187"/>
      <c r="E16" s="187"/>
    </row>
    <row r="17" spans="2:7" ht="147" customHeight="1">
      <c r="B17" s="187"/>
      <c r="C17" s="187"/>
      <c r="D17" s="187"/>
      <c r="E17" s="187"/>
    </row>
    <row r="18" spans="2:7">
      <c r="B18" s="1"/>
      <c r="C18" s="1"/>
    </row>
    <row r="19" spans="2:7" ht="15" customHeight="1">
      <c r="B19" s="14" t="s">
        <v>10</v>
      </c>
      <c r="C19" s="13">
        <v>2021</v>
      </c>
      <c r="D19" s="57"/>
      <c r="E19" s="98">
        <v>2020</v>
      </c>
    </row>
    <row r="20" spans="2:7" ht="15" customHeight="1">
      <c r="B20" s="14"/>
      <c r="C20" s="1"/>
      <c r="E20" s="1"/>
    </row>
    <row r="21" spans="2:7" ht="15" customHeight="1">
      <c r="B21" s="15" t="s">
        <v>36</v>
      </c>
      <c r="C21" s="1"/>
      <c r="E21" s="1"/>
    </row>
    <row r="22" spans="2:7" ht="15" customHeight="1">
      <c r="B22" s="33" t="s">
        <v>175</v>
      </c>
      <c r="C22" s="8">
        <v>1789144.3</v>
      </c>
      <c r="E22" s="8">
        <v>1592829.59</v>
      </c>
      <c r="F22" s="24"/>
      <c r="G22" s="24"/>
    </row>
    <row r="23" spans="2:7" ht="15" customHeight="1">
      <c r="B23" s="33" t="s">
        <v>127</v>
      </c>
      <c r="C23" s="8">
        <v>13330235.16</v>
      </c>
      <c r="E23" s="8">
        <v>12200089.02</v>
      </c>
      <c r="F23" s="24"/>
      <c r="G23" s="24"/>
    </row>
    <row r="24" spans="2:7" ht="15" customHeight="1">
      <c r="B24" s="33" t="s">
        <v>65</v>
      </c>
      <c r="C24" s="8">
        <v>699077.46</v>
      </c>
      <c r="E24" s="8">
        <v>1575759.02</v>
      </c>
      <c r="F24" s="24"/>
      <c r="G24" s="24"/>
    </row>
    <row r="25" spans="2:7" ht="15" customHeight="1">
      <c r="B25" s="33" t="s">
        <v>171</v>
      </c>
      <c r="C25" s="8">
        <v>3272077.46</v>
      </c>
      <c r="E25" s="8">
        <v>2316316.2799999998</v>
      </c>
      <c r="F25" s="24"/>
      <c r="G25" s="24"/>
    </row>
    <row r="26" spans="2:7" ht="15" customHeight="1">
      <c r="B26" s="33" t="s">
        <v>172</v>
      </c>
      <c r="C26" s="8">
        <v>5778422.1500000004</v>
      </c>
      <c r="E26" s="8">
        <v>1938827.38</v>
      </c>
      <c r="F26" s="24"/>
      <c r="G26" s="24"/>
    </row>
    <row r="27" spans="2:7" ht="15" customHeight="1">
      <c r="B27" s="33" t="s">
        <v>173</v>
      </c>
      <c r="C27" s="8">
        <v>20421647.190000001</v>
      </c>
      <c r="E27" s="8">
        <v>16452466.810000001</v>
      </c>
      <c r="F27" s="24"/>
      <c r="G27" s="24"/>
    </row>
    <row r="28" spans="2:7" ht="15" customHeight="1">
      <c r="B28" s="33" t="s">
        <v>174</v>
      </c>
      <c r="C28" s="6">
        <v>25957304.050000001</v>
      </c>
      <c r="E28" s="6">
        <v>24861091.34</v>
      </c>
      <c r="F28" s="24"/>
      <c r="G28" s="24"/>
    </row>
    <row r="29" spans="2:7" ht="19.5" customHeight="1" thickBot="1">
      <c r="B29" s="14" t="s">
        <v>1</v>
      </c>
      <c r="C29" s="27">
        <f>C22+C23+C24+C25+D3316+C27+C28+C26</f>
        <v>71247907.770000011</v>
      </c>
      <c r="D29" s="27"/>
      <c r="E29" s="27">
        <f>E22+E23+E24+E25+F3316+E27+E28+E26</f>
        <v>60937379.440000005</v>
      </c>
      <c r="F29" s="24"/>
      <c r="G29" s="24"/>
    </row>
    <row r="30" spans="2:7" ht="15.75" thickTop="1">
      <c r="E30" s="73" t="s">
        <v>48</v>
      </c>
    </row>
    <row r="32" spans="2:7">
      <c r="C32" s="24"/>
    </row>
  </sheetData>
  <mergeCells count="5">
    <mergeCell ref="B8:E8"/>
    <mergeCell ref="B11:E11"/>
    <mergeCell ref="B12:E12"/>
    <mergeCell ref="B10:E10"/>
    <mergeCell ref="B15:E17"/>
  </mergeCells>
  <printOptions horizontalCentered="1"/>
  <pageMargins left="0.31496062992125984" right="0.35433070866141736" top="0.27559055118110237" bottom="0.27559055118110237" header="0.23622047244094491" footer="0"/>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topLeftCell="A7" zoomScaleNormal="100" workbookViewId="0">
      <selection activeCell="G33" sqref="G33"/>
    </sheetView>
  </sheetViews>
  <sheetFormatPr baseColWidth="10" defaultRowHeight="15"/>
  <cols>
    <col min="1" max="1" width="1.625" customWidth="1"/>
    <col min="2" max="2" width="42.375" customWidth="1"/>
    <col min="3" max="3" width="16.125" customWidth="1"/>
    <col min="4" max="4" width="17.375" customWidth="1"/>
    <col min="5" max="5" width="11" style="19"/>
  </cols>
  <sheetData>
    <row r="1" spans="2:4">
      <c r="B1" s="1"/>
      <c r="C1" s="1"/>
    </row>
    <row r="2" spans="2:4">
      <c r="B2" s="1"/>
      <c r="C2" s="1"/>
    </row>
    <row r="3" spans="2:4">
      <c r="B3" s="1"/>
      <c r="C3" s="1"/>
    </row>
    <row r="4" spans="2:4">
      <c r="B4" s="1"/>
      <c r="C4" s="1"/>
    </row>
    <row r="5" spans="2:4">
      <c r="B5" s="1"/>
      <c r="C5" s="1"/>
    </row>
    <row r="6" spans="2:4">
      <c r="B6" s="1"/>
      <c r="C6" s="1"/>
    </row>
    <row r="7" spans="2:4">
      <c r="B7" s="1"/>
      <c r="C7" s="1"/>
    </row>
    <row r="8" spans="2:4" ht="15.75">
      <c r="B8" s="178" t="s">
        <v>114</v>
      </c>
      <c r="C8" s="178"/>
      <c r="D8" s="178"/>
    </row>
    <row r="9" spans="2:4" ht="15.75">
      <c r="B9" s="43"/>
      <c r="C9" s="43"/>
      <c r="D9" s="43"/>
    </row>
    <row r="10" spans="2:4">
      <c r="B10" s="179" t="s">
        <v>115</v>
      </c>
      <c r="C10" s="179"/>
      <c r="D10" s="179"/>
    </row>
    <row r="11" spans="2:4">
      <c r="B11" s="179" t="s">
        <v>225</v>
      </c>
      <c r="C11" s="179"/>
      <c r="D11" s="179"/>
    </row>
    <row r="12" spans="2:4">
      <c r="B12" s="179" t="s">
        <v>71</v>
      </c>
      <c r="C12" s="179"/>
      <c r="D12" s="179"/>
    </row>
    <row r="13" spans="2:4">
      <c r="B13" s="87"/>
      <c r="C13" s="87"/>
      <c r="D13" s="87"/>
    </row>
    <row r="14" spans="2:4">
      <c r="B14" s="31"/>
      <c r="C14" s="31"/>
      <c r="D14" s="31"/>
    </row>
    <row r="15" spans="2:4">
      <c r="B15" s="5" t="s">
        <v>117</v>
      </c>
      <c r="C15" s="1"/>
    </row>
    <row r="16" spans="2:4">
      <c r="B16" s="1"/>
      <c r="C16" s="13">
        <v>2021</v>
      </c>
      <c r="D16" s="98">
        <v>2020</v>
      </c>
    </row>
    <row r="17" spans="2:5" ht="15" customHeight="1">
      <c r="B17" s="14" t="s">
        <v>10</v>
      </c>
      <c r="C17" s="50"/>
      <c r="D17" s="50"/>
    </row>
    <row r="18" spans="2:5" ht="15" customHeight="1">
      <c r="B18" s="14"/>
      <c r="C18" s="50"/>
      <c r="D18" s="50"/>
    </row>
    <row r="19" spans="2:5" ht="15" customHeight="1">
      <c r="B19" s="14" t="s">
        <v>176</v>
      </c>
      <c r="C19" s="50"/>
      <c r="D19" s="50"/>
    </row>
    <row r="20" spans="2:5" ht="15" customHeight="1">
      <c r="B20" s="15"/>
      <c r="C20" s="50"/>
      <c r="D20" s="50"/>
    </row>
    <row r="21" spans="2:5" ht="15" customHeight="1">
      <c r="B21" s="33" t="s">
        <v>177</v>
      </c>
      <c r="C21" s="48">
        <f>22015415.1-855603.61</f>
        <v>21159811.490000002</v>
      </c>
      <c r="D21" s="48">
        <f>22946643.51-1622011.25</f>
        <v>21324632.260000002</v>
      </c>
    </row>
    <row r="22" spans="2:5" ht="15" customHeight="1">
      <c r="B22" s="14"/>
      <c r="C22" s="49"/>
      <c r="D22" s="38"/>
    </row>
    <row r="23" spans="2:5" ht="19.5" customHeight="1" thickBot="1">
      <c r="B23" s="14" t="s">
        <v>1</v>
      </c>
      <c r="C23" s="47">
        <f>SUM(C21:C22)</f>
        <v>21159811.490000002</v>
      </c>
      <c r="D23" s="47">
        <v>21324632.260000002</v>
      </c>
    </row>
    <row r="24" spans="2:5" ht="15.75" thickTop="1">
      <c r="C24" s="38"/>
    </row>
    <row r="28" spans="2:5" ht="15.75">
      <c r="B28" s="92" t="s">
        <v>241</v>
      </c>
    </row>
    <row r="29" spans="2:5" ht="15.75" thickBot="1"/>
    <row r="30" spans="2:5" ht="15.75" thickBot="1">
      <c r="B30" s="131"/>
      <c r="C30" s="170">
        <v>2021</v>
      </c>
      <c r="D30" s="171">
        <v>2020</v>
      </c>
    </row>
    <row r="31" spans="2:5">
      <c r="B31" s="132" t="s">
        <v>149</v>
      </c>
      <c r="C31" s="172">
        <v>2231866.59</v>
      </c>
      <c r="D31" s="173">
        <v>2660653.34</v>
      </c>
      <c r="E31" s="168"/>
    </row>
    <row r="32" spans="2:5">
      <c r="B32" s="120" t="s">
        <v>150</v>
      </c>
      <c r="C32" s="174">
        <v>2359474.7400000002</v>
      </c>
      <c r="D32" s="175">
        <v>1889948.87</v>
      </c>
      <c r="E32" s="169"/>
    </row>
    <row r="33" spans="2:5">
      <c r="B33" s="120" t="s">
        <v>151</v>
      </c>
      <c r="C33" s="174">
        <v>213549.94</v>
      </c>
      <c r="D33" s="175">
        <v>205217.63</v>
      </c>
      <c r="E33" s="169"/>
    </row>
    <row r="34" spans="2:5">
      <c r="B34" s="120" t="s">
        <v>152</v>
      </c>
      <c r="C34" s="174">
        <v>4840.6499999999996</v>
      </c>
      <c r="D34" s="175">
        <v>11552.16</v>
      </c>
      <c r="E34" s="169"/>
    </row>
    <row r="35" spans="2:5">
      <c r="B35" s="120" t="s">
        <v>153</v>
      </c>
      <c r="C35" s="174">
        <v>3004100.4</v>
      </c>
      <c r="D35" s="175">
        <v>3004100.4</v>
      </c>
      <c r="E35" s="169"/>
    </row>
    <row r="36" spans="2:5">
      <c r="B36" s="120" t="s">
        <v>154</v>
      </c>
      <c r="C36" s="174">
        <v>11377151.66</v>
      </c>
      <c r="D36" s="175">
        <v>11356280.16</v>
      </c>
      <c r="E36" s="169"/>
    </row>
    <row r="37" spans="2:5">
      <c r="B37" s="120" t="s">
        <v>155</v>
      </c>
      <c r="C37" s="174">
        <v>167336.51</v>
      </c>
      <c r="D37" s="175">
        <v>166927.99</v>
      </c>
      <c r="E37" s="169"/>
    </row>
    <row r="38" spans="2:5" ht="15.75" thickBot="1">
      <c r="B38" s="120" t="s">
        <v>156</v>
      </c>
      <c r="C38" s="176">
        <v>1801491</v>
      </c>
      <c r="D38" s="177">
        <v>2029951.71</v>
      </c>
      <c r="E38" s="169"/>
    </row>
    <row r="39" spans="2:5" ht="15.75" thickBot="1">
      <c r="B39" s="133" t="s">
        <v>157</v>
      </c>
      <c r="C39" s="167">
        <f>SUM(C31:C38)</f>
        <v>21159811.490000002</v>
      </c>
      <c r="D39" s="85">
        <f>SUM(D31:D38)</f>
        <v>21324632.260000002</v>
      </c>
    </row>
  </sheetData>
  <mergeCells count="4">
    <mergeCell ref="B8:D8"/>
    <mergeCell ref="B11:D11"/>
    <mergeCell ref="B12:D12"/>
    <mergeCell ref="B10:D10"/>
  </mergeCells>
  <printOptions horizontalCentered="1"/>
  <pageMargins left="0.32" right="0.24" top="0.27559055118110237" bottom="0.27559055118110237" header="0.23622047244094491" footer="0"/>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workbookViewId="0">
      <selection activeCell="J28" sqref="J28"/>
    </sheetView>
  </sheetViews>
  <sheetFormatPr baseColWidth="10" defaultRowHeight="15"/>
  <cols>
    <col min="1" max="1" width="1.25" customWidth="1"/>
    <col min="2" max="2" width="49.875" customWidth="1"/>
    <col min="3" max="3" width="16.125" customWidth="1"/>
    <col min="4" max="4" width="2.125" customWidth="1"/>
    <col min="5" max="5" width="14.875" customWidth="1"/>
    <col min="6" max="6" width="13.875" hidden="1" customWidth="1"/>
    <col min="7" max="7" width="14.875" customWidth="1"/>
    <col min="9" max="9" width="13.875" bestFit="1" customWidth="1"/>
  </cols>
  <sheetData>
    <row r="1" spans="2:5">
      <c r="B1" s="1"/>
      <c r="C1" s="1"/>
    </row>
    <row r="2" spans="2:5">
      <c r="B2" s="1"/>
      <c r="C2" s="1"/>
    </row>
    <row r="3" spans="2:5">
      <c r="B3" s="1"/>
      <c r="C3" s="1"/>
    </row>
    <row r="4" spans="2:5">
      <c r="B4" s="1"/>
      <c r="C4" s="1"/>
    </row>
    <row r="5" spans="2:5">
      <c r="B5" s="1"/>
      <c r="C5" s="1"/>
    </row>
    <row r="6" spans="2:5">
      <c r="B6" s="1"/>
      <c r="C6" s="1"/>
    </row>
    <row r="7" spans="2:5">
      <c r="B7" s="1"/>
      <c r="C7" s="1"/>
    </row>
    <row r="8" spans="2:5" ht="15.75">
      <c r="B8" s="178" t="s">
        <v>130</v>
      </c>
      <c r="C8" s="178"/>
      <c r="D8" s="178"/>
      <c r="E8" s="178"/>
    </row>
    <row r="9" spans="2:5" ht="15.75">
      <c r="B9" s="43"/>
      <c r="C9" s="43"/>
      <c r="D9" s="43"/>
      <c r="E9" s="43"/>
    </row>
    <row r="10" spans="2:5">
      <c r="B10" s="191" t="s">
        <v>85</v>
      </c>
      <c r="C10" s="191"/>
      <c r="D10" s="191"/>
      <c r="E10" s="191"/>
    </row>
    <row r="11" spans="2:5">
      <c r="B11" s="179" t="s">
        <v>201</v>
      </c>
      <c r="C11" s="179"/>
      <c r="D11" s="179"/>
      <c r="E11" s="179"/>
    </row>
    <row r="12" spans="2:5">
      <c r="B12" s="179" t="s">
        <v>71</v>
      </c>
      <c r="C12" s="179"/>
      <c r="D12" s="179"/>
      <c r="E12" s="179"/>
    </row>
    <row r="13" spans="2:5">
      <c r="B13" s="5" t="s">
        <v>122</v>
      </c>
      <c r="C13" s="1"/>
    </row>
    <row r="14" spans="2:5">
      <c r="B14" s="5"/>
      <c r="C14" s="1"/>
    </row>
    <row r="15" spans="2:5" ht="22.5" customHeight="1">
      <c r="B15" s="187" t="s">
        <v>243</v>
      </c>
      <c r="C15" s="187"/>
      <c r="D15" s="187"/>
      <c r="E15" s="187"/>
    </row>
    <row r="16" spans="2:5" ht="23.25" customHeight="1">
      <c r="B16" s="187"/>
      <c r="C16" s="187"/>
      <c r="D16" s="187"/>
      <c r="E16" s="187"/>
    </row>
    <row r="17" spans="2:9" ht="18.75" customHeight="1">
      <c r="B17" s="187"/>
      <c r="C17" s="187"/>
      <c r="D17" s="187"/>
      <c r="E17" s="187"/>
    </row>
    <row r="18" spans="2:9" ht="108" customHeight="1">
      <c r="B18" s="187"/>
      <c r="C18" s="187"/>
      <c r="D18" s="187"/>
      <c r="E18" s="187"/>
    </row>
    <row r="19" spans="2:9">
      <c r="B19" s="5"/>
      <c r="C19" s="1"/>
    </row>
    <row r="20" spans="2:9" ht="15" customHeight="1">
      <c r="B20" s="14" t="s">
        <v>10</v>
      </c>
      <c r="C20" s="13">
        <v>2021</v>
      </c>
      <c r="D20" s="57"/>
      <c r="E20" s="98">
        <v>2020</v>
      </c>
    </row>
    <row r="21" spans="2:9" ht="15" customHeight="1">
      <c r="B21" s="14"/>
      <c r="C21" s="1"/>
      <c r="E21" s="1"/>
    </row>
    <row r="22" spans="2:9" ht="15" customHeight="1">
      <c r="B22" s="15" t="s">
        <v>258</v>
      </c>
      <c r="C22" s="56">
        <v>8432572.7300000004</v>
      </c>
      <c r="E22" s="56">
        <v>5977330.6600000001</v>
      </c>
    </row>
    <row r="23" spans="2:9" ht="15" customHeight="1">
      <c r="B23" s="15" t="s">
        <v>178</v>
      </c>
      <c r="C23" s="8">
        <f>11058703.11</f>
        <v>11058703.109999999</v>
      </c>
      <c r="E23" s="8">
        <f>18838010.99</f>
        <v>18838010.989999998</v>
      </c>
      <c r="F23" s="24">
        <f t="shared" ref="F23:F35" si="0">+C23-E23</f>
        <v>-7779307.879999999</v>
      </c>
      <c r="G23" s="8"/>
      <c r="I23" s="8"/>
    </row>
    <row r="24" spans="2:9" ht="15" customHeight="1">
      <c r="B24" s="15" t="s">
        <v>179</v>
      </c>
      <c r="C24" s="8">
        <v>5561510.0999999996</v>
      </c>
      <c r="E24" s="8">
        <v>6009734.6699999999</v>
      </c>
      <c r="F24" s="24">
        <f t="shared" si="0"/>
        <v>-448224.5700000003</v>
      </c>
      <c r="G24" s="8"/>
      <c r="I24" s="8"/>
    </row>
    <row r="25" spans="2:9" ht="15" customHeight="1">
      <c r="B25" s="15" t="s">
        <v>180</v>
      </c>
      <c r="C25" s="8">
        <v>2834220.97</v>
      </c>
      <c r="E25" s="8">
        <v>1204749.2</v>
      </c>
      <c r="F25" s="24">
        <f t="shared" si="0"/>
        <v>1629471.7700000003</v>
      </c>
      <c r="G25" s="8"/>
      <c r="I25" s="8"/>
    </row>
    <row r="26" spans="2:9" ht="15" customHeight="1">
      <c r="B26" s="15" t="s">
        <v>60</v>
      </c>
      <c r="C26" s="8">
        <v>585976.64</v>
      </c>
      <c r="E26" s="8">
        <v>1702962.89</v>
      </c>
      <c r="F26" s="24">
        <f t="shared" si="0"/>
        <v>-1116986.25</v>
      </c>
      <c r="G26" s="8"/>
      <c r="I26" s="8"/>
    </row>
    <row r="27" spans="2:9" ht="15" customHeight="1">
      <c r="B27" s="15" t="s">
        <v>61</v>
      </c>
      <c r="C27" s="8">
        <v>4713694.53</v>
      </c>
      <c r="E27" s="8">
        <v>1880366.6</v>
      </c>
      <c r="F27" s="24">
        <f t="shared" si="0"/>
        <v>2833327.93</v>
      </c>
      <c r="G27" s="8"/>
      <c r="I27" s="8"/>
    </row>
    <row r="28" spans="2:9" ht="15" customHeight="1">
      <c r="B28" s="15" t="s">
        <v>62</v>
      </c>
      <c r="C28" s="8">
        <v>963600.37</v>
      </c>
      <c r="E28" s="8">
        <v>5326.46</v>
      </c>
      <c r="F28" s="24">
        <f t="shared" si="0"/>
        <v>958273.91</v>
      </c>
      <c r="G28" s="8"/>
      <c r="I28" s="8"/>
    </row>
    <row r="29" spans="2:9" ht="15" customHeight="1">
      <c r="B29" s="15" t="s">
        <v>63</v>
      </c>
      <c r="C29" s="8">
        <v>3106783.77</v>
      </c>
      <c r="E29" s="8">
        <v>7444556.4000000004</v>
      </c>
      <c r="F29" s="24">
        <f t="shared" si="0"/>
        <v>-4337772.6300000008</v>
      </c>
      <c r="G29" s="8"/>
      <c r="I29" s="8"/>
    </row>
    <row r="30" spans="2:9" ht="15" customHeight="1">
      <c r="B30" s="144" t="s">
        <v>64</v>
      </c>
      <c r="C30" s="23">
        <v>48236740.420000002</v>
      </c>
      <c r="D30" s="19"/>
      <c r="E30" s="8">
        <v>39952001.700000003</v>
      </c>
      <c r="F30" s="24">
        <f t="shared" si="0"/>
        <v>8284738.7199999988</v>
      </c>
      <c r="G30" s="8"/>
      <c r="H30" s="19"/>
      <c r="I30" s="8"/>
    </row>
    <row r="31" spans="2:9" ht="15" customHeight="1">
      <c r="B31" s="144" t="s">
        <v>90</v>
      </c>
      <c r="C31" s="165">
        <v>34342155.590000004</v>
      </c>
      <c r="E31" s="56">
        <v>32319845.109999999</v>
      </c>
      <c r="F31" s="24">
        <f t="shared" si="0"/>
        <v>2022310.4800000042</v>
      </c>
      <c r="G31" s="8"/>
      <c r="I31" s="56"/>
    </row>
    <row r="32" spans="2:9" ht="15" customHeight="1">
      <c r="B32" s="164" t="s">
        <v>91</v>
      </c>
      <c r="C32" s="23"/>
      <c r="D32" s="19"/>
      <c r="E32" s="8">
        <v>38000</v>
      </c>
      <c r="F32" s="24">
        <f t="shared" si="0"/>
        <v>-38000</v>
      </c>
      <c r="G32" s="8"/>
      <c r="H32" s="19"/>
      <c r="I32" s="8"/>
    </row>
    <row r="33" spans="2:9" ht="15" customHeight="1">
      <c r="B33" s="164" t="s">
        <v>244</v>
      </c>
      <c r="C33" s="23">
        <v>855603.61</v>
      </c>
      <c r="D33" s="19"/>
      <c r="E33" s="8"/>
      <c r="F33" s="24"/>
      <c r="G33" s="8"/>
      <c r="H33" s="19"/>
      <c r="I33" s="8"/>
    </row>
    <row r="34" spans="2:9" ht="15" customHeight="1">
      <c r="B34" s="164" t="s">
        <v>190</v>
      </c>
      <c r="C34" s="158">
        <f>543802.2+5985694.68+4481896.6+324360.47</f>
        <v>11335753.950000001</v>
      </c>
      <c r="E34" s="6">
        <v>1092675.6399999999</v>
      </c>
      <c r="F34" s="24"/>
      <c r="G34" s="8"/>
      <c r="H34" s="19"/>
      <c r="I34" s="8"/>
    </row>
    <row r="35" spans="2:9" ht="19.5" customHeight="1" thickBot="1">
      <c r="B35" s="14" t="s">
        <v>1</v>
      </c>
      <c r="C35" s="27">
        <f>+C23+C24+C25+C26+C27+C28+C29+C30+C31+C32+C34+C33+C22</f>
        <v>132027315.79000001</v>
      </c>
      <c r="E35" s="41">
        <f>+E23+E24+E25+E26+E27+E28+E29+E30+E31+E32+E34+E22</f>
        <v>116465560.31999999</v>
      </c>
      <c r="F35" s="24">
        <f t="shared" si="0"/>
        <v>15561755.470000014</v>
      </c>
      <c r="G35" s="8"/>
      <c r="I35" s="24"/>
    </row>
    <row r="36" spans="2:9" ht="19.5" customHeight="1" thickTop="1">
      <c r="B36" s="14"/>
      <c r="C36" s="26"/>
      <c r="E36" s="46"/>
      <c r="F36" s="24"/>
      <c r="G36" s="24"/>
    </row>
    <row r="37" spans="2:9">
      <c r="C37" s="24"/>
    </row>
    <row r="38" spans="2:9">
      <c r="B38" s="73"/>
    </row>
  </sheetData>
  <mergeCells count="5">
    <mergeCell ref="B8:E8"/>
    <mergeCell ref="B11:E11"/>
    <mergeCell ref="B12:E12"/>
    <mergeCell ref="B10:E10"/>
    <mergeCell ref="B15:E18"/>
  </mergeCells>
  <printOptions horizontalCentered="1"/>
  <pageMargins left="0.31496062992125984" right="0.31496062992125984" top="0.27559055118110237" bottom="0.27559055118110237" header="0.23622047244094491" footer="0"/>
  <pageSetup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9" sqref="D9"/>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3" workbookViewId="0">
      <selection activeCell="G24" sqref="G24"/>
    </sheetView>
  </sheetViews>
  <sheetFormatPr baseColWidth="10" defaultRowHeight="15"/>
  <cols>
    <col min="1" max="1" width="37.875" style="113" customWidth="1"/>
    <col min="2" max="2" width="19.375" style="18" customWidth="1"/>
    <col min="3" max="3" width="0.75" style="18" customWidth="1"/>
    <col min="4" max="4" width="17.875" style="18" customWidth="1"/>
    <col min="5" max="5" width="18" style="113" hidden="1" customWidth="1"/>
    <col min="6" max="6" width="13.875" style="113" bestFit="1" customWidth="1"/>
    <col min="7" max="7" width="12.5" style="113" customWidth="1"/>
    <col min="8" max="8" width="15.625" style="113" bestFit="1" customWidth="1"/>
    <col min="9" max="9" width="12.375" style="113" customWidth="1"/>
    <col min="10" max="16384" width="11" style="113"/>
  </cols>
  <sheetData>
    <row r="1" spans="1:5">
      <c r="A1" s="134"/>
    </row>
    <row r="2" spans="1:5">
      <c r="A2" s="134"/>
    </row>
    <row r="3" spans="1:5">
      <c r="A3" s="134"/>
      <c r="B3" s="135"/>
    </row>
    <row r="4" spans="1:5">
      <c r="A4" s="134"/>
    </row>
    <row r="5" spans="1:5">
      <c r="A5" s="134"/>
    </row>
    <row r="6" spans="1:5">
      <c r="A6" s="134"/>
    </row>
    <row r="7" spans="1:5">
      <c r="A7" s="134"/>
    </row>
    <row r="8" spans="1:5" ht="15.75">
      <c r="A8" s="182" t="s">
        <v>74</v>
      </c>
      <c r="B8" s="182"/>
      <c r="C8" s="182"/>
      <c r="D8" s="182"/>
      <c r="E8" s="136"/>
    </row>
    <row r="9" spans="1:5">
      <c r="A9" s="183" t="s">
        <v>201</v>
      </c>
      <c r="B9" s="183"/>
      <c r="C9" s="183"/>
      <c r="D9" s="183"/>
      <c r="E9" s="137"/>
    </row>
    <row r="10" spans="1:5">
      <c r="A10" s="183" t="s">
        <v>71</v>
      </c>
      <c r="B10" s="183"/>
      <c r="C10" s="183"/>
      <c r="D10" s="183"/>
      <c r="E10" s="137"/>
    </row>
    <row r="11" spans="1:5">
      <c r="A11" s="138"/>
      <c r="B11" s="138"/>
      <c r="C11" s="138"/>
      <c r="D11" s="138"/>
      <c r="E11" s="137"/>
    </row>
    <row r="12" spans="1:5">
      <c r="A12" s="22" t="s">
        <v>98</v>
      </c>
      <c r="B12" s="138"/>
      <c r="C12" s="138"/>
      <c r="D12" s="138"/>
      <c r="E12" s="137"/>
    </row>
    <row r="13" spans="1:5">
      <c r="A13" s="138"/>
      <c r="B13" s="138"/>
      <c r="C13" s="138"/>
      <c r="D13" s="138"/>
      <c r="E13" s="137"/>
    </row>
    <row r="14" spans="1:5" ht="81" customHeight="1">
      <c r="A14" s="184" t="s">
        <v>233</v>
      </c>
      <c r="B14" s="184"/>
      <c r="C14" s="184"/>
      <c r="D14" s="184"/>
      <c r="E14" s="137"/>
    </row>
    <row r="15" spans="1:5" ht="126.75" customHeight="1">
      <c r="A15" s="184"/>
      <c r="B15" s="184"/>
      <c r="C15" s="184"/>
      <c r="D15" s="184"/>
      <c r="E15" s="137"/>
    </row>
    <row r="16" spans="1:5">
      <c r="A16" s="139"/>
    </row>
    <row r="17" spans="1:9">
      <c r="A17" s="140" t="s">
        <v>10</v>
      </c>
      <c r="B17" s="141">
        <v>2021</v>
      </c>
      <c r="C17" s="142"/>
      <c r="D17" s="141">
        <v>2020</v>
      </c>
      <c r="H17" s="108"/>
    </row>
    <row r="18" spans="1:9">
      <c r="A18" s="140"/>
      <c r="G18" s="108"/>
      <c r="H18" s="108"/>
    </row>
    <row r="19" spans="1:9">
      <c r="A19" s="140" t="s">
        <v>2</v>
      </c>
      <c r="C19" s="143"/>
      <c r="G19" s="124"/>
      <c r="H19" s="124"/>
      <c r="I19" s="124"/>
    </row>
    <row r="20" spans="1:9">
      <c r="A20" s="144" t="s">
        <v>141</v>
      </c>
      <c r="B20" s="23">
        <v>8742402.9800000004</v>
      </c>
      <c r="D20" s="23">
        <v>5820038.1500000004</v>
      </c>
      <c r="E20" s="145">
        <f>+B20-D20</f>
        <v>2922364.83</v>
      </c>
      <c r="F20" s="145"/>
      <c r="G20" s="124"/>
      <c r="H20" s="124"/>
      <c r="I20" s="124"/>
    </row>
    <row r="21" spans="1:9">
      <c r="A21" s="140" t="s">
        <v>34</v>
      </c>
      <c r="B21" s="146">
        <f>B20</f>
        <v>8742402.9800000004</v>
      </c>
      <c r="C21" s="146"/>
      <c r="D21" s="146">
        <f>D20</f>
        <v>5820038.1500000004</v>
      </c>
      <c r="E21" s="147">
        <f>+B21-D21</f>
        <v>2922364.83</v>
      </c>
      <c r="F21" s="145"/>
      <c r="G21" s="124"/>
    </row>
    <row r="22" spans="1:9">
      <c r="A22" s="140" t="s">
        <v>142</v>
      </c>
      <c r="C22" s="146"/>
      <c r="E22" s="145"/>
      <c r="F22" s="145"/>
      <c r="G22" s="124"/>
    </row>
    <row r="23" spans="1:9">
      <c r="A23" s="144" t="s">
        <v>3</v>
      </c>
      <c r="B23" s="23">
        <v>965899.48</v>
      </c>
      <c r="C23" s="23"/>
      <c r="D23" s="23">
        <v>2372615.7599999998</v>
      </c>
      <c r="E23" s="145">
        <f t="shared" ref="E23:E28" si="0">+B23-D23</f>
        <v>-1406716.2799999998</v>
      </c>
      <c r="F23" s="145"/>
      <c r="G23" s="124"/>
    </row>
    <row r="24" spans="1:9">
      <c r="A24" s="144" t="s">
        <v>143</v>
      </c>
      <c r="B24" s="23"/>
      <c r="C24" s="23"/>
      <c r="D24" s="23">
        <v>306664.33</v>
      </c>
      <c r="E24" s="145">
        <f t="shared" si="0"/>
        <v>-306664.33</v>
      </c>
      <c r="F24" s="145"/>
      <c r="G24" s="124"/>
      <c r="H24" s="145"/>
    </row>
    <row r="25" spans="1:9">
      <c r="A25" s="144" t="s">
        <v>144</v>
      </c>
      <c r="B25" s="23">
        <v>17689529.809999999</v>
      </c>
      <c r="C25" s="23"/>
      <c r="D25" s="23">
        <v>1833146.25</v>
      </c>
      <c r="E25" s="145">
        <f t="shared" si="0"/>
        <v>15856383.559999999</v>
      </c>
      <c r="F25" s="145"/>
      <c r="G25" s="124"/>
    </row>
    <row r="26" spans="1:9">
      <c r="A26" s="144" t="s">
        <v>145</v>
      </c>
      <c r="B26" s="23">
        <f>267168+840499.27+257985.5+238000+253141.32+236955.09+248580+304408.18+238044+287940</f>
        <v>3172721.3600000003</v>
      </c>
      <c r="C26" s="23"/>
      <c r="D26" s="23">
        <f>1873414.3+1735738.6+601833.38+262907.14+460399.11+359060.57+391046.67+99185.84+243731.81+390808.17+238400.62</f>
        <v>6656526.21</v>
      </c>
      <c r="E26" s="145">
        <f t="shared" si="0"/>
        <v>-3483804.8499999996</v>
      </c>
      <c r="F26" s="145"/>
      <c r="G26" s="145"/>
    </row>
    <row r="27" spans="1:9">
      <c r="A27" s="140" t="s">
        <v>34</v>
      </c>
      <c r="B27" s="148">
        <f>B25+B26+B24+B23</f>
        <v>21828150.649999999</v>
      </c>
      <c r="C27" s="146"/>
      <c r="D27" s="148">
        <f>D25+D26+D24+D23</f>
        <v>11168952.550000001</v>
      </c>
      <c r="E27" s="145">
        <f t="shared" si="0"/>
        <v>10659198.099999998</v>
      </c>
      <c r="F27" s="145"/>
      <c r="H27" s="124"/>
    </row>
    <row r="28" spans="1:9" ht="15.75" thickBot="1">
      <c r="A28" s="140" t="s">
        <v>1</v>
      </c>
      <c r="B28" s="149">
        <f>B21+B27</f>
        <v>30570553.629999999</v>
      </c>
      <c r="C28" s="146"/>
      <c r="D28" s="149">
        <f>D21+D27</f>
        <v>16988990.700000003</v>
      </c>
      <c r="E28" s="145">
        <f t="shared" si="0"/>
        <v>13581562.929999996</v>
      </c>
      <c r="F28" s="145"/>
    </row>
    <row r="29" spans="1:9" ht="15.75" thickTop="1">
      <c r="A29" s="139"/>
    </row>
    <row r="33" spans="5:5">
      <c r="E33" s="150"/>
    </row>
  </sheetData>
  <mergeCells count="4">
    <mergeCell ref="A8:D8"/>
    <mergeCell ref="A9:D9"/>
    <mergeCell ref="A10:D10"/>
    <mergeCell ref="A14:D15"/>
  </mergeCells>
  <printOptions horizontalCentered="1"/>
  <pageMargins left="0.51181102362204722" right="0.43307086614173229" top="0.27559055118110237" bottom="0.27559055118110237" header="0.23622047244094491"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8:M56"/>
  <sheetViews>
    <sheetView topLeftCell="A7" workbookViewId="0">
      <selection activeCell="K32" sqref="K32"/>
    </sheetView>
  </sheetViews>
  <sheetFormatPr baseColWidth="10" defaultRowHeight="15"/>
  <cols>
    <col min="1" max="1" width="2.375" customWidth="1"/>
    <col min="2" max="2" width="37.875" style="1" customWidth="1"/>
    <col min="3" max="3" width="16.125" style="1" customWidth="1"/>
    <col min="4" max="4" width="1.125" customWidth="1"/>
    <col min="5" max="5" width="15.25" customWidth="1"/>
    <col min="6" max="7" width="11.375" bestFit="1" customWidth="1"/>
  </cols>
  <sheetData>
    <row r="8" spans="2:9" ht="15.75">
      <c r="B8" s="182" t="s">
        <v>227</v>
      </c>
      <c r="C8" s="182"/>
      <c r="D8" s="182"/>
      <c r="E8" s="182"/>
      <c r="G8" s="73"/>
    </row>
    <row r="9" spans="2:9">
      <c r="B9" s="179" t="s">
        <v>201</v>
      </c>
      <c r="C9" s="179"/>
      <c r="D9" s="179"/>
      <c r="E9" s="179"/>
    </row>
    <row r="10" spans="2:9">
      <c r="B10" s="179" t="s">
        <v>71</v>
      </c>
      <c r="C10" s="179"/>
      <c r="D10" s="179"/>
      <c r="E10" s="179"/>
    </row>
    <row r="11" spans="2:9">
      <c r="B11" s="99"/>
      <c r="C11" s="99"/>
      <c r="D11" s="99"/>
      <c r="E11" s="99"/>
    </row>
    <row r="12" spans="2:9" ht="15.75">
      <c r="B12" s="90" t="s">
        <v>73</v>
      </c>
    </row>
    <row r="13" spans="2:9">
      <c r="B13" s="5"/>
    </row>
    <row r="14" spans="2:9" ht="18" customHeight="1">
      <c r="B14" s="185" t="s">
        <v>215</v>
      </c>
      <c r="C14" s="185"/>
      <c r="D14" s="185"/>
      <c r="E14" s="185"/>
    </row>
    <row r="15" spans="2:9" ht="58.5" customHeight="1">
      <c r="B15" s="185"/>
      <c r="C15" s="185"/>
      <c r="D15" s="185"/>
      <c r="E15" s="185"/>
    </row>
    <row r="16" spans="2:9" ht="21.75" customHeight="1">
      <c r="B16" s="100"/>
      <c r="C16" s="100"/>
      <c r="D16" s="100"/>
      <c r="E16" s="100"/>
      <c r="G16" s="108"/>
      <c r="H16" s="113"/>
      <c r="I16" s="113"/>
    </row>
    <row r="17" spans="2:9">
      <c r="B17" s="5"/>
      <c r="G17" s="108"/>
      <c r="H17" s="113"/>
      <c r="I17" s="113"/>
    </row>
    <row r="18" spans="2:9">
      <c r="B18" s="14" t="s">
        <v>10</v>
      </c>
      <c r="C18" s="106">
        <v>2021</v>
      </c>
      <c r="D18" s="25"/>
      <c r="E18" s="106">
        <v>2020</v>
      </c>
    </row>
    <row r="19" spans="2:9">
      <c r="B19" s="14"/>
      <c r="C19" s="8"/>
      <c r="E19" s="38"/>
    </row>
    <row r="20" spans="2:9" ht="31.5" customHeight="1">
      <c r="B20" s="15" t="s">
        <v>202</v>
      </c>
      <c r="C20" s="8"/>
      <c r="E20" s="8">
        <v>1888796.5</v>
      </c>
    </row>
    <row r="21" spans="2:9" ht="21" customHeight="1">
      <c r="B21" s="15" t="s">
        <v>203</v>
      </c>
      <c r="C21" s="8">
        <f>C31</f>
        <v>1051876.3900000001</v>
      </c>
      <c r="D21" s="19"/>
      <c r="E21" s="8">
        <v>0</v>
      </c>
    </row>
    <row r="22" spans="2:9" ht="18" customHeight="1">
      <c r="B22" s="144" t="s">
        <v>228</v>
      </c>
      <c r="C22" s="8"/>
      <c r="D22" s="19"/>
      <c r="E22" s="8">
        <v>1622011.25</v>
      </c>
    </row>
    <row r="23" spans="2:9">
      <c r="B23" s="144" t="s">
        <v>231</v>
      </c>
      <c r="C23" s="8">
        <v>855603.61</v>
      </c>
      <c r="D23" s="19"/>
      <c r="E23" s="8"/>
    </row>
    <row r="24" spans="2:9" ht="15.75">
      <c r="B24" s="140" t="s">
        <v>229</v>
      </c>
      <c r="C24" s="159">
        <f>+C21-C23</f>
        <v>196272.78000000014</v>
      </c>
      <c r="D24" s="112"/>
      <c r="E24" s="146">
        <f>E20-E22</f>
        <v>266785.25</v>
      </c>
      <c r="F24" s="108"/>
      <c r="G24" s="113"/>
    </row>
    <row r="25" spans="2:9" ht="15.75" thickBot="1">
      <c r="B25" s="14" t="s">
        <v>204</v>
      </c>
      <c r="C25" s="79">
        <f>+C24</f>
        <v>196272.78000000014</v>
      </c>
      <c r="E25" s="103">
        <v>266785.25</v>
      </c>
      <c r="F25" s="24"/>
    </row>
    <row r="26" spans="2:9" ht="15.75" thickTop="1">
      <c r="C26" s="8"/>
      <c r="E26" s="8"/>
    </row>
    <row r="27" spans="2:9">
      <c r="B27" s="1" t="s">
        <v>205</v>
      </c>
      <c r="C27" s="8"/>
      <c r="E27" s="8"/>
    </row>
    <row r="28" spans="2:9">
      <c r="B28" s="14" t="s">
        <v>10</v>
      </c>
      <c r="C28" s="166">
        <v>2021</v>
      </c>
      <c r="D28" s="25"/>
      <c r="E28" s="166">
        <v>2020</v>
      </c>
    </row>
    <row r="29" spans="2:9">
      <c r="B29" s="15" t="s">
        <v>138</v>
      </c>
      <c r="C29" s="8">
        <v>266785.25</v>
      </c>
      <c r="D29" s="19"/>
      <c r="E29" s="8">
        <v>0</v>
      </c>
    </row>
    <row r="30" spans="2:9">
      <c r="B30" s="15" t="s">
        <v>206</v>
      </c>
      <c r="C30" s="6">
        <v>785091.14</v>
      </c>
      <c r="D30" s="19"/>
      <c r="E30" s="6">
        <f>1600711.3+288085.2</f>
        <v>1888796.5</v>
      </c>
    </row>
    <row r="31" spans="2:9" ht="15.75" thickBot="1">
      <c r="B31" s="14" t="s">
        <v>1</v>
      </c>
      <c r="C31" s="41">
        <f>C29+C30</f>
        <v>1051876.3900000001</v>
      </c>
      <c r="E31" s="41">
        <f>E29+E30</f>
        <v>1888796.5</v>
      </c>
    </row>
    <row r="32" spans="2:9" ht="15.75" thickTop="1">
      <c r="C32" s="8"/>
      <c r="E32" s="8"/>
    </row>
    <row r="33" spans="2:13">
      <c r="B33" s="1" t="s">
        <v>207</v>
      </c>
      <c r="C33" s="8"/>
      <c r="E33" s="8"/>
    </row>
    <row r="34" spans="2:13">
      <c r="B34" s="14" t="s">
        <v>10</v>
      </c>
      <c r="C34" s="101">
        <v>2021</v>
      </c>
      <c r="D34" s="102"/>
      <c r="E34" s="101">
        <v>2020</v>
      </c>
    </row>
    <row r="35" spans="2:13">
      <c r="B35" s="15" t="s">
        <v>138</v>
      </c>
      <c r="C35" s="8">
        <v>0</v>
      </c>
      <c r="D35" s="19"/>
      <c r="E35" s="8">
        <v>0</v>
      </c>
    </row>
    <row r="36" spans="2:13">
      <c r="B36" s="144" t="s">
        <v>230</v>
      </c>
      <c r="C36" s="122"/>
      <c r="D36" s="19"/>
      <c r="E36" s="8">
        <v>1622011.25</v>
      </c>
      <c r="G36" s="123"/>
      <c r="H36" s="186"/>
      <c r="I36" s="186"/>
      <c r="J36" s="186"/>
      <c r="K36" s="186"/>
      <c r="L36" s="186"/>
      <c r="M36" s="186"/>
    </row>
    <row r="37" spans="2:13" ht="15.75" thickBot="1">
      <c r="B37" s="14" t="s">
        <v>1</v>
      </c>
      <c r="C37" s="41">
        <f>C35+C36</f>
        <v>0</v>
      </c>
      <c r="E37" s="41">
        <f>E35+E36</f>
        <v>1622011.25</v>
      </c>
      <c r="H37" s="186"/>
      <c r="I37" s="186"/>
      <c r="J37" s="186"/>
      <c r="K37" s="186"/>
      <c r="L37" s="186"/>
      <c r="M37" s="186"/>
    </row>
    <row r="38" spans="2:13" ht="15.75" thickTop="1">
      <c r="C38" s="8"/>
      <c r="H38" s="186"/>
      <c r="I38" s="186"/>
      <c r="J38" s="186"/>
      <c r="K38" s="186"/>
      <c r="L38" s="186"/>
      <c r="M38" s="186"/>
    </row>
    <row r="39" spans="2:13">
      <c r="C39" s="8"/>
    </row>
    <row r="52" spans="3:7">
      <c r="F52" s="19"/>
      <c r="G52" s="19"/>
    </row>
    <row r="53" spans="3:7">
      <c r="F53" s="19"/>
      <c r="G53" s="19"/>
    </row>
    <row r="54" spans="3:7">
      <c r="C54" s="10"/>
      <c r="D54" s="19"/>
      <c r="E54" s="19"/>
      <c r="F54" s="19"/>
      <c r="G54" s="19"/>
    </row>
    <row r="55" spans="3:7">
      <c r="C55" s="10"/>
      <c r="D55" s="19"/>
      <c r="E55" s="19"/>
      <c r="F55" s="19"/>
      <c r="G55" s="19"/>
    </row>
    <row r="56" spans="3:7">
      <c r="C56" s="10"/>
      <c r="D56" s="19"/>
      <c r="E56" s="19"/>
      <c r="F56" s="19"/>
      <c r="G56" s="19"/>
    </row>
  </sheetData>
  <mergeCells count="5">
    <mergeCell ref="B8:E8"/>
    <mergeCell ref="B14:E15"/>
    <mergeCell ref="B10:E10"/>
    <mergeCell ref="B9:E9"/>
    <mergeCell ref="H36:M38"/>
  </mergeCells>
  <phoneticPr fontId="6" type="noConversion"/>
  <printOptions horizontalCentered="1"/>
  <pageMargins left="0.39" right="0.34" top="0.27559055118110237" bottom="0.27559055118110237" header="0.23622047244094491" footer="0"/>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9"/>
  <sheetViews>
    <sheetView topLeftCell="A10" workbookViewId="0">
      <selection activeCell="F16" sqref="F16"/>
    </sheetView>
  </sheetViews>
  <sheetFormatPr baseColWidth="10" defaultRowHeight="15"/>
  <cols>
    <col min="1" max="1" width="37.875" style="1" customWidth="1"/>
    <col min="2" max="2" width="15.375" style="1" customWidth="1"/>
    <col min="3" max="3" width="1.5" customWidth="1"/>
    <col min="4" max="4" width="14.875" customWidth="1"/>
    <col min="5" max="5" width="15.625" bestFit="1" customWidth="1"/>
    <col min="6" max="6" width="13.875" bestFit="1" customWidth="1"/>
    <col min="8" max="8" width="17" bestFit="1" customWidth="1"/>
  </cols>
  <sheetData>
    <row r="8" spans="1:4" ht="15.75">
      <c r="A8" s="178" t="s">
        <v>4</v>
      </c>
      <c r="B8" s="178"/>
      <c r="C8" s="178"/>
      <c r="D8" s="178"/>
    </row>
    <row r="9" spans="1:4">
      <c r="A9" s="179" t="s">
        <v>201</v>
      </c>
      <c r="B9" s="179"/>
      <c r="C9" s="179"/>
      <c r="D9" s="179"/>
    </row>
    <row r="10" spans="1:4">
      <c r="A10" s="179" t="s">
        <v>71</v>
      </c>
      <c r="B10" s="179"/>
      <c r="C10" s="179"/>
      <c r="D10" s="179"/>
    </row>
    <row r="11" spans="1:4">
      <c r="A11" s="5" t="s">
        <v>132</v>
      </c>
      <c r="B11" s="31"/>
      <c r="D11" s="31"/>
    </row>
    <row r="12" spans="1:4">
      <c r="A12" s="5"/>
      <c r="B12" s="31"/>
      <c r="D12" s="31"/>
    </row>
    <row r="13" spans="1:4" ht="10.5" customHeight="1">
      <c r="A13" s="187" t="s">
        <v>235</v>
      </c>
      <c r="B13" s="187"/>
      <c r="C13" s="187"/>
      <c r="D13" s="187"/>
    </row>
    <row r="14" spans="1:4" ht="2.25" customHeight="1">
      <c r="A14" s="187"/>
      <c r="B14" s="187"/>
      <c r="C14" s="187"/>
      <c r="D14" s="187"/>
    </row>
    <row r="15" spans="1:4" ht="123" customHeight="1">
      <c r="A15" s="187"/>
      <c r="B15" s="187"/>
      <c r="C15" s="187"/>
      <c r="D15" s="187"/>
    </row>
    <row r="16" spans="1:4" ht="91.5" customHeight="1">
      <c r="A16" s="187"/>
      <c r="B16" s="187"/>
      <c r="C16" s="187"/>
      <c r="D16" s="187"/>
    </row>
    <row r="17" spans="1:8">
      <c r="D17" s="38"/>
      <c r="F17" s="113"/>
      <c r="G17" s="113"/>
    </row>
    <row r="18" spans="1:8">
      <c r="A18" s="14" t="s">
        <v>10</v>
      </c>
      <c r="B18" s="13">
        <v>2021</v>
      </c>
      <c r="C18" s="57"/>
      <c r="D18" s="98">
        <v>2020</v>
      </c>
      <c r="F18" s="108"/>
      <c r="G18" s="113"/>
    </row>
    <row r="19" spans="1:8">
      <c r="A19" s="14"/>
      <c r="B19" s="31"/>
      <c r="D19" s="97"/>
      <c r="F19" s="108"/>
      <c r="G19" s="113"/>
    </row>
    <row r="20" spans="1:8">
      <c r="A20" s="15" t="s">
        <v>75</v>
      </c>
      <c r="B20" s="2">
        <v>609265.09</v>
      </c>
      <c r="D20" s="2">
        <v>923245.2</v>
      </c>
      <c r="E20" s="36"/>
      <c r="F20" s="145"/>
      <c r="G20" s="108"/>
      <c r="H20" s="113"/>
    </row>
    <row r="21" spans="1:8">
      <c r="A21" s="15" t="s">
        <v>126</v>
      </c>
      <c r="B21" s="2"/>
      <c r="D21" s="2">
        <v>13001.45</v>
      </c>
      <c r="E21" s="36"/>
      <c r="F21" s="145"/>
      <c r="G21" s="108"/>
      <c r="H21" s="113"/>
    </row>
    <row r="22" spans="1:8">
      <c r="A22" s="15" t="s">
        <v>76</v>
      </c>
      <c r="B22" s="2">
        <v>699270.19</v>
      </c>
      <c r="D22" s="2">
        <v>461765.28</v>
      </c>
      <c r="E22" s="36"/>
      <c r="F22" s="24"/>
    </row>
    <row r="23" spans="1:8">
      <c r="A23" s="1" t="s">
        <v>211</v>
      </c>
      <c r="B23" s="2">
        <v>97182.33</v>
      </c>
      <c r="D23" s="2"/>
      <c r="E23" s="36"/>
      <c r="F23" s="24"/>
    </row>
    <row r="24" spans="1:8">
      <c r="A24" s="1" t="s">
        <v>77</v>
      </c>
      <c r="B24" s="6">
        <v>3678.24</v>
      </c>
      <c r="D24" s="6">
        <f>3678.24</f>
        <v>3678.24</v>
      </c>
      <c r="E24" s="36"/>
      <c r="F24" s="24"/>
    </row>
    <row r="25" spans="1:8" ht="15.75" thickBot="1">
      <c r="A25" s="14" t="s">
        <v>1</v>
      </c>
      <c r="B25" s="7">
        <f>SUM(B20:B24)</f>
        <v>1409395.8499999999</v>
      </c>
      <c r="D25" s="41">
        <f>SUM(D20:D24)</f>
        <v>1401690.17</v>
      </c>
      <c r="E25" s="36"/>
      <c r="F25" s="24"/>
    </row>
    <row r="26" spans="1:8" ht="26.25" customHeight="1" thickTop="1">
      <c r="A26" s="15"/>
      <c r="B26" s="2"/>
      <c r="D26" s="38"/>
    </row>
    <row r="39" ht="15.75" customHeight="1"/>
  </sheetData>
  <mergeCells count="4">
    <mergeCell ref="A8:D8"/>
    <mergeCell ref="A9:D9"/>
    <mergeCell ref="A10:D10"/>
    <mergeCell ref="A13:D16"/>
  </mergeCells>
  <phoneticPr fontId="6" type="noConversion"/>
  <pageMargins left="0.82677165354330717" right="0.23622047244094491" top="0.27559055118110237" bottom="0.27559055118110237" header="0.23622047244094491" footer="0.23622047244094491"/>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3"/>
  <sheetViews>
    <sheetView workbookViewId="0">
      <selection activeCell="F40" sqref="F40"/>
    </sheetView>
  </sheetViews>
  <sheetFormatPr baseColWidth="10" defaultRowHeight="15"/>
  <cols>
    <col min="1" max="1" width="35" style="1" customWidth="1"/>
    <col min="2" max="2" width="17.75" style="1" customWidth="1"/>
    <col min="3" max="3" width="1.25" style="1" customWidth="1"/>
    <col min="4" max="4" width="16.75" style="1" customWidth="1"/>
    <col min="5" max="5" width="3.875" customWidth="1"/>
    <col min="6" max="6" width="16.75" customWidth="1"/>
  </cols>
  <sheetData>
    <row r="8" spans="1:6" ht="15.75">
      <c r="A8" s="178" t="s">
        <v>183</v>
      </c>
      <c r="B8" s="178"/>
      <c r="C8" s="178"/>
      <c r="D8" s="178"/>
      <c r="E8" s="39"/>
      <c r="F8" s="39"/>
    </row>
    <row r="9" spans="1:6">
      <c r="A9" s="179" t="s">
        <v>201</v>
      </c>
      <c r="B9" s="179"/>
      <c r="C9" s="179"/>
      <c r="D9" s="179"/>
      <c r="E9" s="40"/>
      <c r="F9" s="40"/>
    </row>
    <row r="10" spans="1:6">
      <c r="A10" s="179" t="s">
        <v>71</v>
      </c>
      <c r="B10" s="179"/>
      <c r="C10" s="179"/>
      <c r="D10" s="179"/>
      <c r="E10" s="40"/>
      <c r="F10" s="40"/>
    </row>
    <row r="11" spans="1:6">
      <c r="A11" s="5" t="s">
        <v>80</v>
      </c>
    </row>
    <row r="12" spans="1:6">
      <c r="A12" s="5"/>
    </row>
    <row r="13" spans="1:6" ht="16.5">
      <c r="A13" s="35" t="s">
        <v>92</v>
      </c>
    </row>
    <row r="14" spans="1:6" ht="15" customHeight="1">
      <c r="A14" s="181" t="s">
        <v>146</v>
      </c>
      <c r="B14" s="181"/>
      <c r="C14" s="181"/>
      <c r="D14" s="181"/>
    </row>
    <row r="15" spans="1:6" ht="15" customHeight="1">
      <c r="A15" s="181"/>
      <c r="B15" s="181"/>
      <c r="C15" s="181"/>
      <c r="D15" s="181"/>
    </row>
    <row r="16" spans="1:6" ht="15" customHeight="1">
      <c r="A16" s="181"/>
      <c r="B16" s="181"/>
      <c r="C16" s="181"/>
      <c r="D16" s="181"/>
    </row>
    <row r="17" spans="1:9" ht="64.5" customHeight="1">
      <c r="A17" s="181"/>
      <c r="B17" s="181"/>
      <c r="C17" s="181"/>
      <c r="D17" s="181"/>
    </row>
    <row r="18" spans="1:9" ht="15" customHeight="1">
      <c r="A18" s="35"/>
    </row>
    <row r="19" spans="1:9" ht="15" customHeight="1">
      <c r="A19" s="35" t="s">
        <v>88</v>
      </c>
    </row>
    <row r="20" spans="1:9" ht="7.5" customHeight="1">
      <c r="A20" s="181" t="s">
        <v>217</v>
      </c>
      <c r="B20" s="181"/>
      <c r="C20" s="181"/>
      <c r="D20" s="181"/>
    </row>
    <row r="21" spans="1:9" ht="3.75" hidden="1" customHeight="1">
      <c r="A21" s="181"/>
      <c r="B21" s="181"/>
      <c r="C21" s="181"/>
      <c r="D21" s="181"/>
    </row>
    <row r="22" spans="1:9">
      <c r="A22" s="181"/>
      <c r="B22" s="181"/>
      <c r="C22" s="181"/>
      <c r="D22" s="181"/>
    </row>
    <row r="23" spans="1:9">
      <c r="A23" s="181"/>
      <c r="B23" s="181"/>
      <c r="C23" s="181"/>
      <c r="D23" s="181"/>
    </row>
    <row r="24" spans="1:9" ht="38.25" customHeight="1">
      <c r="A24" s="181"/>
      <c r="B24" s="181"/>
      <c r="C24" s="181"/>
      <c r="D24" s="181"/>
    </row>
    <row r="25" spans="1:9" ht="23.25" customHeight="1">
      <c r="D25"/>
      <c r="F25" s="19"/>
      <c r="G25" s="108"/>
      <c r="H25" s="113"/>
      <c r="I25" s="113"/>
    </row>
    <row r="26" spans="1:9" ht="15" customHeight="1">
      <c r="A26" s="14" t="s">
        <v>10</v>
      </c>
      <c r="B26" s="13">
        <v>2021</v>
      </c>
      <c r="C26" s="13"/>
      <c r="D26" s="98">
        <v>2020</v>
      </c>
      <c r="F26" s="44"/>
      <c r="G26" s="108"/>
      <c r="H26" s="113"/>
      <c r="I26" s="113"/>
    </row>
    <row r="27" spans="1:9" ht="15" customHeight="1">
      <c r="A27" s="15"/>
      <c r="B27" s="2"/>
      <c r="C27" s="2"/>
      <c r="D27" s="2"/>
      <c r="F27" s="19"/>
    </row>
    <row r="28" spans="1:9" ht="15" customHeight="1">
      <c r="A28" s="15" t="s">
        <v>7</v>
      </c>
      <c r="B28" s="2">
        <v>33915043.229999997</v>
      </c>
      <c r="C28" s="2"/>
      <c r="D28" s="2">
        <v>33915043.229999997</v>
      </c>
      <c r="F28" s="45"/>
    </row>
    <row r="29" spans="1:9">
      <c r="A29" s="15" t="s">
        <v>8</v>
      </c>
      <c r="B29" s="6">
        <v>75975225.620000005</v>
      </c>
      <c r="C29" s="2"/>
      <c r="D29" s="6">
        <v>78350365.840000004</v>
      </c>
      <c r="F29" s="45"/>
    </row>
    <row r="30" spans="1:9" ht="19.5" customHeight="1" thickBot="1">
      <c r="A30" s="14" t="s">
        <v>1</v>
      </c>
      <c r="B30" s="11">
        <f>SUM(B27:B29)</f>
        <v>109890268.84999999</v>
      </c>
      <c r="C30" s="37"/>
      <c r="D30" s="41">
        <f>SUM(D28:D29)</f>
        <v>112265409.06999999</v>
      </c>
      <c r="F30" s="45"/>
    </row>
    <row r="31" spans="1:9" ht="19.5" customHeight="1" thickTop="1">
      <c r="A31" s="14"/>
      <c r="B31" s="2"/>
      <c r="C31" s="8"/>
      <c r="D31" s="37"/>
      <c r="F31" s="45"/>
    </row>
    <row r="33" spans="1:4" ht="15" hidden="1" customHeight="1">
      <c r="A33" s="181"/>
      <c r="B33" s="181"/>
      <c r="C33" s="181"/>
      <c r="D33" s="181"/>
    </row>
  </sheetData>
  <mergeCells count="6">
    <mergeCell ref="A33:D33"/>
    <mergeCell ref="A8:D8"/>
    <mergeCell ref="A9:D9"/>
    <mergeCell ref="A10:D10"/>
    <mergeCell ref="A14:D17"/>
    <mergeCell ref="A20:D24"/>
  </mergeCells>
  <phoneticPr fontId="6" type="noConversion"/>
  <printOptions horizontalCentered="1"/>
  <pageMargins left="0.31496062992125984" right="0.27559055118110237" top="0.27559055118110237" bottom="0.27559055118110237" header="0.23622047244094491"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29"/>
  <sheetViews>
    <sheetView topLeftCell="A4" workbookViewId="0">
      <selection activeCell="F18" sqref="F18"/>
    </sheetView>
  </sheetViews>
  <sheetFormatPr baseColWidth="10" defaultRowHeight="15"/>
  <cols>
    <col min="1" max="1" width="37.875" style="1" customWidth="1"/>
    <col min="2" max="2" width="16.125" style="1" customWidth="1"/>
    <col min="3" max="3" width="2" customWidth="1"/>
    <col min="4" max="4" width="14" customWidth="1"/>
  </cols>
  <sheetData>
    <row r="8" spans="1:4" ht="15.75">
      <c r="A8" s="178" t="s">
        <v>99</v>
      </c>
      <c r="B8" s="178"/>
      <c r="C8" s="178"/>
      <c r="D8" s="178"/>
    </row>
    <row r="9" spans="1:4">
      <c r="A9" s="179" t="s">
        <v>201</v>
      </c>
      <c r="B9" s="179"/>
      <c r="C9" s="179"/>
      <c r="D9" s="179"/>
    </row>
    <row r="10" spans="1:4">
      <c r="A10" s="179" t="s">
        <v>71</v>
      </c>
      <c r="B10" s="179"/>
      <c r="C10" s="179"/>
      <c r="D10" s="179"/>
    </row>
    <row r="11" spans="1:4">
      <c r="A11" s="5" t="s">
        <v>50</v>
      </c>
    </row>
    <row r="12" spans="1:4">
      <c r="A12" s="5"/>
    </row>
    <row r="13" spans="1:4">
      <c r="A13" s="5"/>
    </row>
    <row r="14" spans="1:4" ht="38.25" customHeight="1">
      <c r="A14" s="187" t="s">
        <v>236</v>
      </c>
      <c r="B14" s="187"/>
      <c r="C14" s="187"/>
      <c r="D14" s="187"/>
    </row>
    <row r="15" spans="1:4" ht="33.75" customHeight="1">
      <c r="A15" s="187"/>
      <c r="B15" s="187"/>
      <c r="C15" s="187"/>
      <c r="D15" s="187"/>
    </row>
    <row r="16" spans="1:4" ht="82.5" customHeight="1">
      <c r="A16" s="187"/>
      <c r="B16" s="187"/>
      <c r="C16" s="187"/>
      <c r="D16" s="187"/>
    </row>
    <row r="17" spans="1:4" ht="36" customHeight="1">
      <c r="A17" s="60"/>
      <c r="B17" s="60"/>
      <c r="C17" s="60"/>
      <c r="D17" s="60"/>
    </row>
    <row r="19" spans="1:4">
      <c r="A19" s="14" t="s">
        <v>10</v>
      </c>
      <c r="B19" s="13">
        <v>2021</v>
      </c>
      <c r="C19" s="57"/>
      <c r="D19" s="98">
        <v>2020</v>
      </c>
    </row>
    <row r="20" spans="1:4">
      <c r="A20" s="14"/>
      <c r="D20" s="1"/>
    </row>
    <row r="21" spans="1:4" ht="40.5" customHeight="1">
      <c r="A21" s="15" t="s">
        <v>208</v>
      </c>
      <c r="B21" s="2">
        <v>260290.27</v>
      </c>
      <c r="D21" s="2">
        <v>722990.27</v>
      </c>
    </row>
    <row r="22" spans="1:4">
      <c r="A22" s="15" t="s">
        <v>209</v>
      </c>
      <c r="B22" s="2">
        <v>1895300</v>
      </c>
      <c r="D22" s="2">
        <v>1895300</v>
      </c>
    </row>
    <row r="23" spans="1:4">
      <c r="A23" s="15" t="s">
        <v>210</v>
      </c>
      <c r="B23" s="6">
        <v>463100</v>
      </c>
      <c r="D23" s="6"/>
    </row>
    <row r="24" spans="1:4" ht="15.75" thickBot="1">
      <c r="A24" s="14" t="s">
        <v>1</v>
      </c>
      <c r="B24" s="7">
        <f>SUM(B21:B23)</f>
        <v>2618690.27</v>
      </c>
      <c r="D24" s="41">
        <f>D21+D23+D22</f>
        <v>2618290.27</v>
      </c>
    </row>
    <row r="25" spans="1:4" ht="15.75" thickTop="1">
      <c r="B25" s="8"/>
    </row>
    <row r="27" spans="1:4">
      <c r="B27" s="10"/>
    </row>
    <row r="29" spans="1:4">
      <c r="A29" s="109"/>
    </row>
  </sheetData>
  <mergeCells count="4">
    <mergeCell ref="A8:D8"/>
    <mergeCell ref="A9:D9"/>
    <mergeCell ref="A10:D10"/>
    <mergeCell ref="A14:D16"/>
  </mergeCells>
  <phoneticPr fontId="6" type="noConversion"/>
  <printOptions horizontalCentered="1"/>
  <pageMargins left="0.36" right="0.32" top="0.27559055118110237" bottom="0.27559055118110237" header="0.23622047244094491"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I69"/>
  <sheetViews>
    <sheetView topLeftCell="A20" zoomScaleNormal="100" workbookViewId="0">
      <selection activeCell="D32" sqref="D32"/>
    </sheetView>
  </sheetViews>
  <sheetFormatPr baseColWidth="10" defaultRowHeight="15"/>
  <cols>
    <col min="1" max="1" width="17" style="1" customWidth="1"/>
    <col min="2" max="2" width="16.5" style="1" customWidth="1"/>
    <col min="3" max="3" width="18" style="1" bestFit="1" customWidth="1"/>
    <col min="4" max="4" width="16.75" bestFit="1" customWidth="1"/>
    <col min="5" max="5" width="16.25" customWidth="1"/>
    <col min="6" max="6" width="17.125" bestFit="1" customWidth="1"/>
    <col min="7" max="7" width="15.75" customWidth="1"/>
    <col min="8" max="8" width="17.625" customWidth="1"/>
    <col min="9" max="9" width="16.875" customWidth="1"/>
  </cols>
  <sheetData>
    <row r="6" spans="1:5" ht="15.75">
      <c r="A6" s="178" t="s">
        <v>100</v>
      </c>
      <c r="B6" s="178"/>
      <c r="C6" s="178"/>
      <c r="D6" s="178"/>
      <c r="E6" s="178"/>
    </row>
    <row r="7" spans="1:5">
      <c r="A7" s="179" t="s">
        <v>225</v>
      </c>
      <c r="B7" s="179"/>
      <c r="C7" s="179"/>
      <c r="D7" s="179"/>
      <c r="E7" s="179"/>
    </row>
    <row r="8" spans="1:5">
      <c r="A8" s="179" t="s">
        <v>71</v>
      </c>
      <c r="B8" s="179"/>
      <c r="C8" s="179"/>
      <c r="D8" s="179"/>
      <c r="E8" s="179"/>
    </row>
    <row r="9" spans="1:5">
      <c r="A9" s="31"/>
      <c r="B9" s="31"/>
      <c r="C9" s="31"/>
      <c r="D9" s="31"/>
      <c r="E9" s="31"/>
    </row>
    <row r="10" spans="1:5">
      <c r="A10" s="5" t="s">
        <v>46</v>
      </c>
    </row>
    <row r="11" spans="1:5">
      <c r="A11" s="5"/>
    </row>
    <row r="12" spans="1:5" ht="21.75" customHeight="1">
      <c r="A12" s="187" t="s">
        <v>216</v>
      </c>
      <c r="B12" s="187"/>
      <c r="C12" s="187"/>
      <c r="D12" s="187"/>
      <c r="E12" s="187"/>
    </row>
    <row r="13" spans="1:5" ht="21.75" customHeight="1">
      <c r="A13" s="187"/>
      <c r="B13" s="187"/>
      <c r="C13" s="187"/>
      <c r="D13" s="187"/>
      <c r="E13" s="187"/>
    </row>
    <row r="14" spans="1:5" ht="21.75" customHeight="1">
      <c r="A14" s="187"/>
      <c r="B14" s="187"/>
      <c r="C14" s="187"/>
      <c r="D14" s="187"/>
      <c r="E14" s="187"/>
    </row>
    <row r="15" spans="1:5" ht="21.75" customHeight="1">
      <c r="A15" s="187"/>
      <c r="B15" s="187"/>
      <c r="C15" s="187"/>
      <c r="D15" s="187"/>
      <c r="E15" s="187"/>
    </row>
    <row r="16" spans="1:5" ht="40.5" customHeight="1">
      <c r="A16" s="187"/>
      <c r="B16" s="187"/>
      <c r="C16" s="187"/>
      <c r="D16" s="187"/>
      <c r="E16" s="187"/>
    </row>
    <row r="17" spans="1:9" ht="16.5">
      <c r="A17" s="35" t="s">
        <v>158</v>
      </c>
      <c r="D17" s="1"/>
    </row>
    <row r="18" spans="1:9">
      <c r="A18" s="187" t="s">
        <v>191</v>
      </c>
      <c r="B18" s="187"/>
      <c r="C18" s="187"/>
      <c r="D18" s="187"/>
      <c r="E18" s="187"/>
    </row>
    <row r="19" spans="1:9">
      <c r="A19" s="187"/>
      <c r="B19" s="187"/>
      <c r="C19" s="187"/>
      <c r="D19" s="187"/>
      <c r="E19" s="187"/>
    </row>
    <row r="20" spans="1:9">
      <c r="A20" s="187"/>
      <c r="B20" s="187"/>
      <c r="C20" s="187"/>
      <c r="D20" s="187"/>
      <c r="E20" s="187"/>
    </row>
    <row r="21" spans="1:9" ht="50.25" customHeight="1">
      <c r="A21" s="187"/>
      <c r="B21" s="187"/>
      <c r="C21" s="187"/>
      <c r="D21" s="187"/>
      <c r="E21" s="187"/>
    </row>
    <row r="22" spans="1:9">
      <c r="A22" s="5"/>
      <c r="D22" s="73"/>
      <c r="E22" s="73"/>
      <c r="F22" s="73"/>
      <c r="G22" s="73"/>
      <c r="H22" s="73"/>
      <c r="I22" s="73"/>
    </row>
    <row r="23" spans="1:9" ht="15" customHeight="1">
      <c r="A23" s="14">
        <v>2021</v>
      </c>
      <c r="B23" s="2"/>
      <c r="C23" s="2"/>
      <c r="D23" s="73"/>
      <c r="E23" s="2"/>
      <c r="F23" s="74"/>
      <c r="G23" s="74"/>
      <c r="H23" s="75"/>
      <c r="I23" s="107"/>
    </row>
    <row r="24" spans="1:9" s="59" customFormat="1" ht="39.75">
      <c r="A24" s="71"/>
      <c r="B24" s="71" t="s">
        <v>101</v>
      </c>
      <c r="C24" s="71" t="s">
        <v>102</v>
      </c>
      <c r="D24" s="71" t="s">
        <v>103</v>
      </c>
      <c r="E24" s="71" t="s">
        <v>188</v>
      </c>
      <c r="F24" s="71" t="s">
        <v>189</v>
      </c>
      <c r="G24" s="71" t="s">
        <v>214</v>
      </c>
      <c r="H24" s="71" t="s">
        <v>147</v>
      </c>
      <c r="I24" s="71" t="s">
        <v>1</v>
      </c>
    </row>
    <row r="25" spans="1:9" s="130" customFormat="1" ht="25.5">
      <c r="A25" s="128" t="s">
        <v>148</v>
      </c>
      <c r="B25" s="129">
        <f>78016200+6192000+22051200</f>
        <v>106259400</v>
      </c>
      <c r="C25" s="129">
        <v>158155982.88999999</v>
      </c>
      <c r="D25" s="129">
        <v>25630077.989999998</v>
      </c>
      <c r="E25" s="129">
        <v>66831976.920000002</v>
      </c>
      <c r="F25" s="129">
        <v>109235315.06</v>
      </c>
      <c r="G25" s="129"/>
      <c r="H25" s="129">
        <v>172315872.59999999</v>
      </c>
      <c r="I25" s="129">
        <f>B25+C25+D25+E25+F25+H25</f>
        <v>638428625.46000004</v>
      </c>
    </row>
    <row r="26" spans="1:9" s="113" customFormat="1">
      <c r="A26" s="115" t="s">
        <v>104</v>
      </c>
      <c r="B26" s="114"/>
      <c r="C26" s="114"/>
      <c r="D26" s="114">
        <v>5688587.3300000001</v>
      </c>
      <c r="E26" s="114">
        <v>672129.88</v>
      </c>
      <c r="F26" s="114">
        <v>169949.5</v>
      </c>
      <c r="G26" s="114">
        <v>12397.08</v>
      </c>
      <c r="H26" s="114"/>
      <c r="I26" s="114">
        <f>B26+C26+D26+E26+F26+H26+G26</f>
        <v>6543063.79</v>
      </c>
    </row>
    <row r="27" spans="1:9" s="113" customFormat="1">
      <c r="A27" s="115" t="s">
        <v>105</v>
      </c>
      <c r="B27" s="114"/>
      <c r="C27" s="114">
        <v>-3190</v>
      </c>
      <c r="D27" s="114"/>
      <c r="E27" s="114"/>
      <c r="F27" s="114"/>
      <c r="G27" s="114"/>
      <c r="H27" s="114"/>
      <c r="I27" s="114">
        <f>B27+C27+D27+E27+F27+H27</f>
        <v>-3190</v>
      </c>
    </row>
    <row r="28" spans="1:9" s="113" customFormat="1" ht="27">
      <c r="A28" s="110" t="s">
        <v>107</v>
      </c>
      <c r="B28" s="111">
        <f>SUM(B25:B27)</f>
        <v>106259400</v>
      </c>
      <c r="C28" s="111">
        <f>SUM(C25:C27)</f>
        <v>158152792.88999999</v>
      </c>
      <c r="D28" s="111">
        <f>SUM(D25:D27)</f>
        <v>31318665.32</v>
      </c>
      <c r="E28" s="111">
        <f>SUM(E25:E27)</f>
        <v>67504106.799999997</v>
      </c>
      <c r="F28" s="111">
        <f>SUM(F25:F27)</f>
        <v>109405264.56</v>
      </c>
      <c r="G28" s="111">
        <f>+G26</f>
        <v>12397.08</v>
      </c>
      <c r="H28" s="111">
        <f>SUM(H25:H27)</f>
        <v>172315872.59999999</v>
      </c>
      <c r="I28" s="111">
        <f>SUM(I25:I27)</f>
        <v>644968499.25</v>
      </c>
    </row>
    <row r="29" spans="1:9" s="113" customFormat="1" ht="10.5" customHeight="1">
      <c r="A29" s="110"/>
      <c r="B29" s="111"/>
      <c r="C29" s="111"/>
      <c r="D29" s="111"/>
      <c r="E29" s="111"/>
      <c r="F29" s="111"/>
      <c r="G29" s="111"/>
      <c r="H29" s="111"/>
      <c r="I29" s="111"/>
    </row>
    <row r="30" spans="1:9" s="130" customFormat="1" ht="25.5">
      <c r="A30" s="110" t="s">
        <v>123</v>
      </c>
      <c r="B30" s="111"/>
      <c r="C30" s="111">
        <v>-36847800.719999999</v>
      </c>
      <c r="D30" s="111">
        <v>-21320803.989999998</v>
      </c>
      <c r="E30" s="111">
        <v>-60038647.390000001</v>
      </c>
      <c r="F30" s="111">
        <v>-69776863.950000003</v>
      </c>
      <c r="G30" s="111"/>
      <c r="H30" s="111"/>
      <c r="I30" s="111">
        <f>B30+C30+D30+E30+F30+H30</f>
        <v>-187984116.05000001</v>
      </c>
    </row>
    <row r="31" spans="1:9" s="113" customFormat="1">
      <c r="A31" s="115" t="s">
        <v>108</v>
      </c>
      <c r="B31" s="114">
        <v>0</v>
      </c>
      <c r="C31" s="114">
        <v>-3004100.4</v>
      </c>
      <c r="D31" s="114">
        <v>-2745201.84</v>
      </c>
      <c r="E31" s="114">
        <v>-2231866.59</v>
      </c>
      <c r="F31" s="114">
        <v>-13177609.66</v>
      </c>
      <c r="G31" s="114">
        <v>-1033</v>
      </c>
      <c r="H31" s="114"/>
      <c r="I31" s="114">
        <f>SUM(B31:G31)</f>
        <v>-21159811.490000002</v>
      </c>
    </row>
    <row r="32" spans="1:9" s="108" customFormat="1" ht="30.75" customHeight="1">
      <c r="A32" s="128" t="s">
        <v>107</v>
      </c>
      <c r="B32" s="129"/>
      <c r="C32" s="129">
        <f>+C30+C31</f>
        <v>-39851901.119999997</v>
      </c>
      <c r="D32" s="129">
        <f>+D30+D31</f>
        <v>-24066005.829999998</v>
      </c>
      <c r="E32" s="129">
        <f>+E30+E31</f>
        <v>-62270513.980000004</v>
      </c>
      <c r="F32" s="129">
        <f>+F30+F31</f>
        <v>-82954473.609999999</v>
      </c>
      <c r="G32" s="129">
        <f>+G30+G31</f>
        <v>-1033</v>
      </c>
      <c r="H32" s="129"/>
      <c r="I32" s="129">
        <f>+I30+I31</f>
        <v>-209143927.54000002</v>
      </c>
    </row>
    <row r="33" spans="1:9" ht="39.75">
      <c r="A33" s="104" t="s">
        <v>223</v>
      </c>
      <c r="B33" s="105">
        <f>SUM(B28:B31)</f>
        <v>106259400</v>
      </c>
      <c r="C33" s="105">
        <f>+C28+C32</f>
        <v>118300891.76999998</v>
      </c>
      <c r="D33" s="105">
        <f t="shared" ref="D33:H33" si="0">+D28+D32</f>
        <v>7252659.4900000021</v>
      </c>
      <c r="E33" s="105">
        <f>+E28+E32</f>
        <v>5233592.8199999928</v>
      </c>
      <c r="F33" s="105">
        <f>+F28+F32</f>
        <v>26450790.950000003</v>
      </c>
      <c r="G33" s="105">
        <f>+G28+G32</f>
        <v>11364.08</v>
      </c>
      <c r="H33" s="105">
        <f t="shared" si="0"/>
        <v>172315872.59999999</v>
      </c>
      <c r="I33" s="105">
        <f>+I28+I32</f>
        <v>435824571.70999998</v>
      </c>
    </row>
    <row r="34" spans="1:9" ht="15" customHeight="1">
      <c r="A34" s="15"/>
      <c r="B34" s="2"/>
      <c r="C34" s="2"/>
      <c r="D34" s="73"/>
      <c r="E34" s="2"/>
      <c r="F34" s="74"/>
      <c r="G34" s="74"/>
      <c r="H34" s="75"/>
      <c r="I34" s="73"/>
    </row>
    <row r="35" spans="1:9" ht="15" customHeight="1">
      <c r="A35" s="15"/>
      <c r="B35" s="2"/>
      <c r="C35" s="2"/>
      <c r="D35" s="73"/>
      <c r="E35" s="2"/>
      <c r="F35" s="74"/>
      <c r="G35" s="74"/>
      <c r="H35" s="75"/>
      <c r="I35" s="107"/>
    </row>
    <row r="36" spans="1:9" ht="15" customHeight="1">
      <c r="A36" s="15"/>
      <c r="B36" s="2"/>
      <c r="C36" s="2"/>
      <c r="D36" s="73"/>
      <c r="E36" s="2"/>
      <c r="F36" s="74"/>
      <c r="G36" s="74"/>
      <c r="H36" s="75"/>
      <c r="I36" s="73"/>
    </row>
    <row r="37" spans="1:9" ht="15" customHeight="1">
      <c r="A37" s="15"/>
      <c r="B37" s="2"/>
      <c r="C37" s="2"/>
      <c r="D37" s="73"/>
      <c r="E37" s="2"/>
      <c r="F37" s="74"/>
      <c r="G37" s="74"/>
      <c r="H37" s="75"/>
      <c r="I37" s="73"/>
    </row>
    <row r="38" spans="1:9" ht="15" customHeight="1">
      <c r="A38" s="15"/>
      <c r="B38" s="2"/>
      <c r="C38" s="2"/>
      <c r="D38" s="73"/>
      <c r="E38" s="2"/>
      <c r="F38" s="74"/>
      <c r="G38" s="74"/>
      <c r="H38" s="75"/>
      <c r="I38" s="73"/>
    </row>
    <row r="39" spans="1:9" s="19" customFormat="1" ht="15" customHeight="1">
      <c r="A39" s="66"/>
      <c r="B39" s="8"/>
      <c r="C39" s="8"/>
      <c r="D39" s="76"/>
      <c r="E39" s="8"/>
      <c r="F39" s="77"/>
      <c r="G39" s="77"/>
      <c r="H39" s="78"/>
      <c r="I39" s="76"/>
    </row>
    <row r="40" spans="1:9" s="19" customFormat="1" ht="15" customHeight="1">
      <c r="A40" s="14">
        <v>2020</v>
      </c>
      <c r="B40" s="2"/>
      <c r="C40" s="2"/>
      <c r="D40" s="73"/>
      <c r="E40" s="2"/>
      <c r="F40" s="74"/>
      <c r="G40" s="74"/>
      <c r="H40" s="75"/>
      <c r="I40" s="73"/>
    </row>
    <row r="41" spans="1:9" s="19" customFormat="1" ht="27">
      <c r="A41" s="71"/>
      <c r="B41" s="71" t="s">
        <v>101</v>
      </c>
      <c r="C41" s="71" t="s">
        <v>102</v>
      </c>
      <c r="D41" s="71" t="s">
        <v>196</v>
      </c>
      <c r="E41" s="71" t="s">
        <v>188</v>
      </c>
      <c r="F41" s="71" t="s">
        <v>189</v>
      </c>
      <c r="G41" s="71" t="s">
        <v>147</v>
      </c>
      <c r="H41" s="71" t="s">
        <v>1</v>
      </c>
    </row>
    <row r="42" spans="1:9" s="125" customFormat="1" ht="25.5">
      <c r="A42" s="110" t="s">
        <v>148</v>
      </c>
      <c r="B42" s="111">
        <f>78016200+6192000+22051200</f>
        <v>106259400</v>
      </c>
      <c r="C42" s="111">
        <v>158155982.88999999</v>
      </c>
      <c r="D42" s="111">
        <v>23678761.649999999</v>
      </c>
      <c r="E42" s="111">
        <f>64248567.11-0.58</f>
        <v>64248566.530000001</v>
      </c>
      <c r="F42" s="111">
        <v>96523569.049999997</v>
      </c>
      <c r="G42" s="111">
        <v>172315872.59999999</v>
      </c>
      <c r="H42" s="111">
        <f>B42+C42+D42+E42+F42+G42</f>
        <v>621182152.71999991</v>
      </c>
    </row>
    <row r="43" spans="1:9" s="112" customFormat="1">
      <c r="A43" s="115" t="s">
        <v>104</v>
      </c>
      <c r="B43" s="114"/>
      <c r="C43" s="114"/>
      <c r="D43" s="114">
        <v>2512848.58</v>
      </c>
      <c r="E43" s="114">
        <v>2796381.83</v>
      </c>
      <c r="F43" s="114">
        <v>13183250.880000001</v>
      </c>
      <c r="G43" s="114"/>
      <c r="H43" s="114">
        <f>B43+C43+D43+E43+F43+G43</f>
        <v>18492481.289999999</v>
      </c>
    </row>
    <row r="44" spans="1:9" s="112" customFormat="1" ht="15" customHeight="1">
      <c r="A44" s="115" t="s">
        <v>105</v>
      </c>
      <c r="B44" s="114"/>
      <c r="C44" s="114"/>
      <c r="D44" s="114">
        <v>-561532.24</v>
      </c>
      <c r="E44" s="114">
        <v>-212971.44</v>
      </c>
      <c r="F44" s="114">
        <v>-337828.03</v>
      </c>
      <c r="G44" s="114"/>
      <c r="H44" s="114">
        <f>B44+C44+D44+E44+F44+G44</f>
        <v>-1112331.71</v>
      </c>
    </row>
    <row r="45" spans="1:9" s="112" customFormat="1" ht="15" customHeight="1">
      <c r="A45" s="115" t="s">
        <v>106</v>
      </c>
      <c r="B45" s="114"/>
      <c r="C45" s="114"/>
      <c r="D45" s="114"/>
      <c r="E45" s="114"/>
      <c r="F45" s="114">
        <v>-133676.84</v>
      </c>
      <c r="G45" s="114"/>
      <c r="H45" s="114">
        <f>B45+C45+D45+E45+F45+G45</f>
        <v>-133676.84</v>
      </c>
    </row>
    <row r="46" spans="1:9" s="112" customFormat="1" ht="27">
      <c r="A46" s="110" t="s">
        <v>107</v>
      </c>
      <c r="B46" s="111">
        <f>SUM(B42:B45)</f>
        <v>106259400</v>
      </c>
      <c r="C46" s="111">
        <f t="shared" ref="C46:G46" si="1">SUM(C42:C45)</f>
        <v>158155982.88999999</v>
      </c>
      <c r="D46" s="111">
        <f t="shared" si="1"/>
        <v>25630077.989999998</v>
      </c>
      <c r="E46" s="111">
        <f t="shared" si="1"/>
        <v>66831976.920000002</v>
      </c>
      <c r="F46" s="111">
        <f t="shared" si="1"/>
        <v>109235315.05999999</v>
      </c>
      <c r="G46" s="111">
        <f t="shared" si="1"/>
        <v>172315872.59999999</v>
      </c>
      <c r="H46" s="111">
        <f>SUM(H42:H45)</f>
        <v>638428625.4599998</v>
      </c>
    </row>
    <row r="47" spans="1:9" s="112" customFormat="1" ht="8.25" customHeight="1">
      <c r="A47" s="110"/>
      <c r="B47" s="111"/>
      <c r="C47" s="111"/>
      <c r="D47" s="111"/>
      <c r="E47" s="111"/>
      <c r="F47" s="111"/>
      <c r="G47" s="111"/>
      <c r="H47" s="111"/>
    </row>
    <row r="48" spans="1:9" s="125" customFormat="1" ht="25.5">
      <c r="A48" s="110" t="s">
        <v>123</v>
      </c>
      <c r="B48" s="111"/>
      <c r="C48" s="111">
        <v>-33843700.32</v>
      </c>
      <c r="D48" s="111">
        <v>-19608689.579999998</v>
      </c>
      <c r="E48" s="111">
        <v>-57590965.490000002</v>
      </c>
      <c r="F48" s="111">
        <v>-56728460.109999999</v>
      </c>
      <c r="G48" s="111"/>
      <c r="H48" s="111">
        <f>B48+C48+D48+E48+F48+G48</f>
        <v>-167771815.5</v>
      </c>
    </row>
    <row r="49" spans="1:9" s="112" customFormat="1">
      <c r="A49" s="115" t="s">
        <v>108</v>
      </c>
      <c r="B49" s="114">
        <v>0</v>
      </c>
      <c r="C49" s="114">
        <v>-3004100.4</v>
      </c>
      <c r="D49" s="114">
        <v>-2273646.65</v>
      </c>
      <c r="E49" s="114">
        <v>-2660653.34</v>
      </c>
      <c r="F49" s="114">
        <v>-13386231.869999999</v>
      </c>
      <c r="G49" s="114"/>
      <c r="H49" s="114">
        <v>-21324632.260000002</v>
      </c>
    </row>
    <row r="50" spans="1:9" s="112" customFormat="1">
      <c r="A50" s="126" t="s">
        <v>105</v>
      </c>
      <c r="B50" s="114"/>
      <c r="C50" s="114"/>
      <c r="D50" s="114">
        <v>561532.24</v>
      </c>
      <c r="E50" s="114">
        <v>212971.44</v>
      </c>
      <c r="F50" s="114">
        <v>337828.03</v>
      </c>
      <c r="G50" s="114"/>
      <c r="H50" s="114">
        <f>D50+E50+F50</f>
        <v>1112331.71</v>
      </c>
    </row>
    <row r="51" spans="1:9" s="112" customFormat="1" ht="27" customHeight="1">
      <c r="A51" s="110" t="s">
        <v>107</v>
      </c>
      <c r="B51" s="111"/>
      <c r="C51" s="111">
        <f>+C48+C49</f>
        <v>-36847800.719999999</v>
      </c>
      <c r="D51" s="111">
        <f>SUM(D48:D50)</f>
        <v>-21320803.989999998</v>
      </c>
      <c r="E51" s="111">
        <f>SUM(E48:E50)</f>
        <v>-60038647.390000001</v>
      </c>
      <c r="F51" s="111">
        <f>SUM(F48:F50)</f>
        <v>-69776863.950000003</v>
      </c>
      <c r="G51" s="111">
        <f t="shared" ref="G51" si="2">+G48+G49</f>
        <v>0</v>
      </c>
      <c r="H51" s="111">
        <f>SUM(B51:G51)</f>
        <v>-187984116.05000001</v>
      </c>
    </row>
    <row r="52" spans="1:9" s="112" customFormat="1" ht="39.75">
      <c r="A52" s="110" t="s">
        <v>224</v>
      </c>
      <c r="B52" s="111">
        <f>SUM(B46:B50)</f>
        <v>106259400</v>
      </c>
      <c r="C52" s="111">
        <f>+C46+C51</f>
        <v>121308182.16999999</v>
      </c>
      <c r="D52" s="111">
        <f t="shared" ref="D52:G52" si="3">+D46+D51</f>
        <v>4309274</v>
      </c>
      <c r="E52" s="111">
        <f t="shared" si="3"/>
        <v>6793329.5300000012</v>
      </c>
      <c r="F52" s="111">
        <f>+F46+F51</f>
        <v>39458451.109999985</v>
      </c>
      <c r="G52" s="111">
        <f t="shared" si="3"/>
        <v>172315872.59999999</v>
      </c>
      <c r="H52" s="111">
        <f>+H46+H51</f>
        <v>450444509.40999979</v>
      </c>
      <c r="I52" s="127"/>
    </row>
    <row r="53" spans="1:9" s="19" customFormat="1" ht="15.75" customHeight="1">
      <c r="A53" s="15"/>
      <c r="B53" s="2"/>
      <c r="C53" s="2"/>
      <c r="D53" s="73"/>
      <c r="E53" s="2"/>
      <c r="F53" s="74"/>
      <c r="G53" s="74"/>
      <c r="H53" s="75"/>
      <c r="I53" s="73"/>
    </row>
    <row r="54" spans="1:9">
      <c r="D54" s="73"/>
      <c r="E54" s="73"/>
      <c r="F54" s="107"/>
      <c r="G54" s="73"/>
      <c r="H54" s="107"/>
      <c r="I54" s="75"/>
    </row>
    <row r="55" spans="1:9">
      <c r="A55" s="66"/>
      <c r="B55" s="8"/>
      <c r="C55" s="8"/>
      <c r="D55" s="76"/>
      <c r="E55" s="8"/>
      <c r="F55" s="116"/>
      <c r="G55" s="77"/>
      <c r="H55" s="78"/>
      <c r="I55" s="76"/>
    </row>
    <row r="66" spans="5:5">
      <c r="E66" s="36"/>
    </row>
    <row r="67" spans="5:5">
      <c r="E67" s="36"/>
    </row>
    <row r="68" spans="5:5">
      <c r="E68" s="36"/>
    </row>
    <row r="69" spans="5:5">
      <c r="E69" s="36"/>
    </row>
  </sheetData>
  <mergeCells count="5">
    <mergeCell ref="A6:E6"/>
    <mergeCell ref="A7:E7"/>
    <mergeCell ref="A8:E8"/>
    <mergeCell ref="A12:E16"/>
    <mergeCell ref="A18:E21"/>
  </mergeCells>
  <phoneticPr fontId="6" type="noConversion"/>
  <printOptions horizontalCentered="1"/>
  <pageMargins left="0.35433070866141736" right="0.39370078740157483" top="0.27559055118110237" bottom="0.27559055118110237" header="0.23622047244094491" footer="0"/>
  <pageSetup scale="70" orientation="landscape" r:id="rId1"/>
  <headerFooter alignWithMargins="0"/>
  <rowBreaks count="1" manualBreakCount="1">
    <brk id="38" max="16383" man="1"/>
  </rowBreaks>
  <ignoredErrors>
    <ignoredError sqref="I26 G28" formula="1"/>
  </ignoredErrors>
  <drawing r:id="rId2"/>
  <legacyDrawing r:id="rId3"/>
  <oleObjects>
    <mc:AlternateContent xmlns:mc="http://schemas.openxmlformats.org/markup-compatibility/2006">
      <mc:Choice Requires="x14">
        <oleObject progId="PBrush" shapeId="5123" r:id="rId4">
          <objectPr defaultSize="0" autoPict="0" r:id="rId5">
            <anchor moveWithCells="1" sizeWithCells="1">
              <from>
                <xdr:col>9</xdr:col>
                <xdr:colOff>0</xdr:colOff>
                <xdr:row>1</xdr:row>
                <xdr:rowOff>104775</xdr:rowOff>
              </from>
              <to>
                <xdr:col>9</xdr:col>
                <xdr:colOff>0</xdr:colOff>
                <xdr:row>5</xdr:row>
                <xdr:rowOff>0</xdr:rowOff>
              </to>
            </anchor>
          </objectPr>
        </oleObject>
      </mc:Choice>
      <mc:Fallback>
        <oleObject progId="PBrush" shapeId="512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25"/>
  <sheetViews>
    <sheetView workbookViewId="0">
      <selection activeCell="A19" sqref="A19"/>
    </sheetView>
  </sheetViews>
  <sheetFormatPr baseColWidth="10" defaultRowHeight="15"/>
  <cols>
    <col min="1" max="1" width="37.875" style="1" customWidth="1"/>
    <col min="2" max="2" width="18.375" style="1" bestFit="1" customWidth="1"/>
    <col min="3" max="3" width="1.375" customWidth="1"/>
    <col min="4" max="4" width="14" customWidth="1"/>
    <col min="8" max="8" width="14.375" bestFit="1" customWidth="1"/>
  </cols>
  <sheetData>
    <row r="8" spans="1:8" ht="15.75">
      <c r="A8" s="178" t="s">
        <v>111</v>
      </c>
      <c r="B8" s="178"/>
      <c r="C8" s="178"/>
      <c r="D8" s="178"/>
    </row>
    <row r="9" spans="1:8">
      <c r="A9" s="179" t="s">
        <v>201</v>
      </c>
      <c r="B9" s="179"/>
      <c r="C9" s="179"/>
      <c r="D9" s="179"/>
    </row>
    <row r="10" spans="1:8">
      <c r="A10" s="179" t="s">
        <v>71</v>
      </c>
      <c r="B10" s="179"/>
      <c r="C10" s="179"/>
      <c r="D10" s="179"/>
    </row>
    <row r="11" spans="1:8" ht="16.5">
      <c r="A11" s="88" t="s">
        <v>38</v>
      </c>
      <c r="B11" s="53"/>
      <c r="C11" s="34"/>
      <c r="D11" s="34"/>
    </row>
    <row r="12" spans="1:8" ht="16.5">
      <c r="A12" s="5"/>
      <c r="B12" s="53"/>
      <c r="C12" s="34"/>
      <c r="D12" s="34"/>
    </row>
    <row r="13" spans="1:8" ht="17.25" customHeight="1">
      <c r="A13" s="188" t="s">
        <v>255</v>
      </c>
      <c r="B13" s="188"/>
      <c r="C13" s="188"/>
      <c r="D13" s="188"/>
    </row>
    <row r="14" spans="1:8" ht="44.25" customHeight="1">
      <c r="A14" s="188"/>
      <c r="B14" s="188"/>
      <c r="C14" s="188"/>
      <c r="D14" s="188"/>
      <c r="H14" s="36"/>
    </row>
    <row r="15" spans="1:8" ht="21" customHeight="1">
      <c r="A15" s="121"/>
      <c r="B15" s="121"/>
      <c r="C15" s="121"/>
      <c r="D15" s="121"/>
      <c r="H15" s="36"/>
    </row>
    <row r="16" spans="1:8" ht="16.5">
      <c r="A16" s="53"/>
      <c r="B16" s="53"/>
      <c r="C16" s="34"/>
      <c r="D16" s="34"/>
    </row>
    <row r="17" spans="1:5">
      <c r="A17" s="14" t="s">
        <v>10</v>
      </c>
      <c r="B17" s="13">
        <v>2021</v>
      </c>
      <c r="C17" s="57"/>
      <c r="D17" s="98">
        <v>2020</v>
      </c>
    </row>
    <row r="18" spans="1:5" ht="16.5">
      <c r="A18" s="54"/>
      <c r="B18" s="53"/>
      <c r="C18" s="34"/>
      <c r="D18" s="53"/>
    </row>
    <row r="19" spans="1:5" ht="16.5">
      <c r="A19" s="160" t="s">
        <v>160</v>
      </c>
      <c r="B19" s="161">
        <v>230600</v>
      </c>
      <c r="C19" s="34"/>
      <c r="D19" s="55">
        <v>230600</v>
      </c>
    </row>
    <row r="20" spans="1:5" ht="16.5">
      <c r="A20" s="160" t="s">
        <v>6</v>
      </c>
      <c r="B20" s="162">
        <v>67834</v>
      </c>
      <c r="C20" s="34"/>
      <c r="D20" s="58">
        <v>67834</v>
      </c>
    </row>
    <row r="21" spans="1:5" ht="16.5" thickBot="1">
      <c r="A21" s="61" t="s">
        <v>1</v>
      </c>
      <c r="B21" s="62">
        <f>B19+B20</f>
        <v>298434</v>
      </c>
      <c r="C21" s="63"/>
      <c r="D21" s="64">
        <f>D19+D20</f>
        <v>298434</v>
      </c>
    </row>
    <row r="22" spans="1:5" ht="15.75" thickTop="1">
      <c r="B22" s="8"/>
    </row>
    <row r="23" spans="1:5">
      <c r="B23" s="8"/>
    </row>
    <row r="24" spans="1:5" ht="15" customHeight="1">
      <c r="A24" s="52"/>
      <c r="B24" s="52"/>
      <c r="C24" s="52"/>
      <c r="D24" s="52"/>
      <c r="E24" s="52"/>
    </row>
    <row r="25" spans="1:5">
      <c r="B25" s="10"/>
    </row>
  </sheetData>
  <mergeCells count="4">
    <mergeCell ref="A8:D8"/>
    <mergeCell ref="A9:D9"/>
    <mergeCell ref="A10:D10"/>
    <mergeCell ref="A13:D14"/>
  </mergeCells>
  <printOptions horizontalCentered="1"/>
  <pageMargins left="0.27559055118110237" right="0.35433070866141736" top="0.98425196850393704"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vt:i4>
      </vt:variant>
    </vt:vector>
  </HeadingPairs>
  <TitlesOfParts>
    <vt:vector size="26" baseType="lpstr">
      <vt:lpstr>Efectivo 07</vt:lpstr>
      <vt:lpstr>Cuentas x Cobrar Corto Plazo 8 </vt:lpstr>
      <vt:lpstr>Inventario 09</vt:lpstr>
      <vt:lpstr>Gastos Anticipados 10</vt:lpstr>
      <vt:lpstr>Otros Activos Corriente 11</vt:lpstr>
      <vt:lpstr>Documentos x Cobrar Largo P. 12</vt:lpstr>
      <vt:lpstr>Inversiones a Largo Plazo 13</vt:lpstr>
      <vt:lpstr>Propiedad Planta y Equipo 14</vt:lpstr>
      <vt:lpstr>Otros Activo no Corrientes 15</vt:lpstr>
      <vt:lpstr>Cuenta por Pagar CP 16</vt:lpstr>
      <vt:lpstr>Retenciones y Acum. pagar 17 </vt:lpstr>
      <vt:lpstr>Otros Pasivos Corrientes 18</vt:lpstr>
      <vt:lpstr>Prestamo por Pagar 19</vt:lpstr>
      <vt:lpstr>Otros Pasivos no Corrientes 20</vt:lpstr>
      <vt:lpstr>Patrimonio 21</vt:lpstr>
      <vt:lpstr>Ingresos x trans. contrapres.22</vt:lpstr>
      <vt:lpstr>Transfcia y donaciones 23</vt:lpstr>
      <vt:lpstr>Otros Ingresos 24</vt:lpstr>
      <vt:lpstr>Sueldos y beneficios Emplea 25 </vt:lpstr>
      <vt:lpstr>Subvenc. y otros p, transfe 26</vt:lpstr>
      <vt:lpstr>Suministro y Materiales 27</vt:lpstr>
      <vt:lpstr>Gastos deprec. y Amortizacio 28</vt:lpstr>
      <vt:lpstr>Otros Gastos 29</vt:lpstr>
      <vt:lpstr>Hoja1</vt:lpstr>
      <vt:lpstr>'Efectivo 07'!Área_de_impresión</vt:lpstr>
      <vt:lpstr>'Patrimonio 21'!Área_de_impresión</vt:lpstr>
    </vt:vector>
  </TitlesOfParts>
  <Company>INAVI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ycuello</dc:creator>
  <cp:lastModifiedBy>Carina Vaneza Perez Tapia</cp:lastModifiedBy>
  <cp:lastPrinted>2022-02-07T20:25:57Z</cp:lastPrinted>
  <dcterms:created xsi:type="dcterms:W3CDTF">2012-06-14T16:13:43Z</dcterms:created>
  <dcterms:modified xsi:type="dcterms:W3CDTF">2022-02-07T20:26:35Z</dcterms:modified>
</cp:coreProperties>
</file>